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Transaction data" sheetId="2" r:id="rId5"/>
    <sheet state="visible" name="Quaterly Variance Analysis" sheetId="3" r:id="rId6"/>
    <sheet state="visible" name="Performance Analysis" sheetId="4" r:id="rId7"/>
    <sheet state="visible" name="Montly Variance Analysis" sheetId="5" r:id="rId8"/>
    <sheet state="visible" name="Sheet9" sheetId="6" r:id="rId9"/>
  </sheets>
  <definedNames/>
  <calcPr/>
</workbook>
</file>

<file path=xl/sharedStrings.xml><?xml version="1.0" encoding="utf-8"?>
<sst xmlns="http://schemas.openxmlformats.org/spreadsheetml/2006/main" count="1667" uniqueCount="232">
  <si>
    <t>Month</t>
  </si>
  <si>
    <t>Campaign</t>
  </si>
  <si>
    <t>Campaign Medium</t>
  </si>
  <si>
    <t>Budgeted Amount</t>
  </si>
  <si>
    <t>Actual Amount</t>
  </si>
  <si>
    <t>Variance</t>
  </si>
  <si>
    <t>October</t>
  </si>
  <si>
    <t>Visitjaipur</t>
  </si>
  <si>
    <t>Facebook</t>
  </si>
  <si>
    <t>Youtube</t>
  </si>
  <si>
    <t>Instagram</t>
  </si>
  <si>
    <t>Offline</t>
  </si>
  <si>
    <t>Google Ads</t>
  </si>
  <si>
    <t>Twitter</t>
  </si>
  <si>
    <t>Visitrajasthan</t>
  </si>
  <si>
    <t>Visitudaipur</t>
  </si>
  <si>
    <t>Visitjodhpur</t>
  </si>
  <si>
    <t>Visitjaisalmer</t>
  </si>
  <si>
    <t>Visitbikaner</t>
  </si>
  <si>
    <t>November</t>
  </si>
  <si>
    <t>December</t>
  </si>
  <si>
    <t xml:space="preserve"> Transaction Comment               </t>
  </si>
  <si>
    <t>Amount</t>
  </si>
  <si>
    <t>Split 1</t>
  </si>
  <si>
    <t>Split2</t>
  </si>
  <si>
    <t>Transaction Type</t>
  </si>
  <si>
    <t>Campaingn Medium</t>
  </si>
  <si>
    <t>Final</t>
  </si>
  <si>
    <t>TRIM</t>
  </si>
  <si>
    <t>Campaign Location</t>
  </si>
  <si>
    <t>Last 4 digit of Card</t>
  </si>
  <si>
    <t>| VfS/Facebook/20221015/Visitjaipur/5676 |</t>
  </si>
  <si>
    <t>| VIN/YouTube/20221102/Visitrajasthan/4564 |</t>
  </si>
  <si>
    <t>| NEFT/Instagram/20221010/visitudaipur/4565 |</t>
  </si>
  <si>
    <t>| CHQ/Offline &amp;/20221021/Visitjodhpur/4566 |</t>
  </si>
  <si>
    <t>| VfS/Google Ads/20221018/visitJaisalmer/3455 |</t>
  </si>
  <si>
    <t>| VIN/TwiTter/20221005/visitbikaner/5666 |</t>
  </si>
  <si>
    <t>| NEFT/YouTube/20221010/Visitjaipur/5676 |</t>
  </si>
  <si>
    <t>| NEFT/Instagram/20221010/Visitjaipur/5676 |</t>
  </si>
  <si>
    <t>| NEFT/Offline/20221010/Visitjaipur/5676 |</t>
  </si>
  <si>
    <t>| NEFT/Google Ads/20221010/Visitjaipur/5676 |</t>
  </si>
  <si>
    <t>| NEFT/Twitter/20221010/Visitjaipur/5676 |</t>
  </si>
  <si>
    <t>| CHQ/YouTube &amp;/20221030/Visitrajasthan/4564 |</t>
  </si>
  <si>
    <t>| VfS/Facebook/20221007/visitudaipur/4565 |</t>
  </si>
  <si>
    <t>| VIN/YouTube &amp;/20221025/Visitjodhpur/4566 |</t>
  </si>
  <si>
    <t>| NEFT/Facebook/20221013/Visitjaipur/5676 |</t>
  </si>
  <si>
    <t>| VfS/Facebook/20221022/Visitrajasthan/4564 |</t>
  </si>
  <si>
    <t>| CHQ/Google Ads/20221027/visitudaipur/4565 |</t>
  </si>
  <si>
    <t>| VIN/twitter &amp;/20221019/Visitjodhpur/4566 |</t>
  </si>
  <si>
    <t>| NEFT/Facebook/20221005/visitJaisalmer/3455 |</t>
  </si>
  <si>
    <t>| CHQ/FaceBook/20221008/visitbikaner/5666 |</t>
  </si>
  <si>
    <t>| VfS/Facebook/20221016/Visitjaipur/5676 |</t>
  </si>
  <si>
    <t>| NEFT/Instagram &amp;/20221024/Visitrajasthan/4564 |</t>
  </si>
  <si>
    <t>| VfS/YouTube/20221009/visitudaipur/4565 |</t>
  </si>
  <si>
    <t>| VIN/Facebook &amp;/20221023/Visitjodhpur/4566 |</t>
  </si>
  <si>
    <t>| CHQ/Facebook/20221107/Visitjaipur/5676 |</t>
  </si>
  <si>
    <t>| VfS/YouTube/20221121/Visitrajasthan/4564 |</t>
  </si>
  <si>
    <t>| NEFT/Instagram/20221124/visitudaipur/4565 |</t>
  </si>
  <si>
    <t>| CHQ/Google Ads &amp;/20221007/Visitjodhpur/4566 |</t>
  </si>
  <si>
    <t>| VfS/Google Ads/20221212/visitJaisalmer/3455 |</t>
  </si>
  <si>
    <t>| VIN/Youtube/20221015/visitbikaner/5666 |</t>
  </si>
  <si>
    <t>| NEFT/Facebook/20221126/Visitjaipur/5676 |</t>
  </si>
  <si>
    <t>| CHQ/YouTube &amp;/20221203/Visitrajasthan/4564 |</t>
  </si>
  <si>
    <t>| VfS/Instagram/20221218/visitudaipur/4565 |</t>
  </si>
  <si>
    <t>| VIN/OfflINe &amp;/20221214/Visitjodhpur/4566 |</t>
  </si>
  <si>
    <t>| VfS/Facebook/20221010/Visitjaipur/5676 |</t>
  </si>
  <si>
    <t>| VIN/Offline/20221026/Visitrajasthan/4564 |</t>
  </si>
  <si>
    <t>| NEFT/Offline/20221030/visitudaipur/4565 |</t>
  </si>
  <si>
    <t>| CHQ/Offline &amp;/20221015/Visitjodhpur/4566 |</t>
  </si>
  <si>
    <t>| VfS/Google Ads/20221121/visitJaisalmer/3455 |</t>
  </si>
  <si>
    <t>| VIN/Instagram/20221028/visitbikaner/5666 |</t>
  </si>
  <si>
    <t>| NEFT/Facebook/20221101/Visitjaipur/5676 |</t>
  </si>
  <si>
    <t>| CHQ/YouTube &amp;/20221109/Visitrajasthan/4564 |</t>
  </si>
  <si>
    <t>| VfS/Twitter/20221023/visitudaipur/4565 |</t>
  </si>
  <si>
    <t>| VIN/Instagram &amp;/20221027/Visitjodhpur/4566 |</t>
  </si>
  <si>
    <t>| CHQ/Facebook/20221214/Visitjaipur/5676 |</t>
  </si>
  <si>
    <t>| VfS/YouTube/20221219/Visitrajasthan/4564 |</t>
  </si>
  <si>
    <t>| NEFT/Offline/20221025/visitudaipur/4565 |</t>
  </si>
  <si>
    <t>| CHQ/Offline &amp;/20221230/Visitjodhpur/4566 |</t>
  </si>
  <si>
    <t>| VfS/YouTube/20221007/visitJaisalmer/3455 |</t>
  </si>
  <si>
    <t>| VIN/offline/20221010/visitbikaner/5666 |</t>
  </si>
  <si>
    <t>| NEFT/Facebook/20221015/Visitjaipur/5676 |</t>
  </si>
  <si>
    <t>| CHQ/Google Ads &amp;/20221019/Visitrajasthan/4564 |</t>
  </si>
  <si>
    <t>| VfS/Instagram/20221101/visitudaipur/4565 |</t>
  </si>
  <si>
    <t>| VIN/OfflINe &amp;/20221026/Visitjodhpur/4566 |</t>
  </si>
  <si>
    <t>| VIN/twitter/20221002/Visitrajasthan/4564 |</t>
  </si>
  <si>
    <t>| NEFT/Instagram/20221210/visitudaipur/4565 |</t>
  </si>
  <si>
    <t>| CHQ/Offline &amp;/20221221/Visitjodhpur/4566 |</t>
  </si>
  <si>
    <t>| VfS/Google Ads/20221118/visitJaisalmer/3455 |</t>
  </si>
  <si>
    <t>| VIN/Google ads/20221005/visitbikaner/5666 |</t>
  </si>
  <si>
    <t>| NEFT/Facebook/20221212/Visitjaipur/5676 |</t>
  </si>
  <si>
    <t>| VfS/Instagram/20221107/visitudaipur/4565 |</t>
  </si>
  <si>
    <t>| VIN/OfflINe &amp;/20221225/Visitjodhpur/4566 |</t>
  </si>
  <si>
    <t>| VfS/YouTube/20221022/Visitrajasthan/4564 |</t>
  </si>
  <si>
    <t>| CHQ/Instagram/20221027/visitudaipur/4565 |</t>
  </si>
  <si>
    <t>| VIN/Offline &amp;/20221019/Visitjodhpur/4566 |</t>
  </si>
  <si>
    <t>| NEFT/Google Ads/20221105/visitJaisalmer/3455 |</t>
  </si>
  <si>
    <t>| CHQ/TwiTter/20221008/visitbikaner/5666 |</t>
  </si>
  <si>
    <t>| NEFT/YouTube &amp;/20221024/Visitrajasthan/4564 |</t>
  </si>
  <si>
    <t>| VfS/Instagram/20221109/visitudaipur/4565 |</t>
  </si>
  <si>
    <t>| VIN/OfflINe &amp;/20221023/Visitjodhpur/4566 |</t>
  </si>
  <si>
    <t>| CHQ/Offline &amp;/20221207/Visitjodhpur/4566 |</t>
  </si>
  <si>
    <t>| VIN/TwiTter/20221115/visitbikaner/5666 |</t>
  </si>
  <si>
    <t>| VIN/YouTube/20221026/Visitrajasthan/4564 |</t>
  </si>
  <si>
    <t>| NEFT/Instagram/20221030/visitudaipur/4565 |</t>
  </si>
  <si>
    <t>| VIN/TwiTter/20221028/visitbikaner/5666 |</t>
  </si>
  <si>
    <t>| VfS/Instagram/20221123/visitudaipur/4565 |</t>
  </si>
  <si>
    <t>| VIN/OfflINe &amp;/20221127/Visitjodhpur/4566 |</t>
  </si>
  <si>
    <t>| NEFT/Instagram/20221225/visitudaipur/4565 |</t>
  </si>
  <si>
    <t>| VfS/twitter/20221007/visitJaisalmer/3455 |</t>
  </si>
  <si>
    <t>| VIN/TwiTter/20221210/visitbikaner/5666 |</t>
  </si>
  <si>
    <t>| CHQ/YouTube &amp;/20221019/Visitrajasthan/4564 |</t>
  </si>
  <si>
    <t>| CHQ/Facebook/20221002/Visitjaipur/5676 |</t>
  </si>
  <si>
    <t>| VfS/YouTube/20221017/Visitrajasthan/4564 |</t>
  </si>
  <si>
    <t>| NEFT/Instagram/20221205/visitudaipur/4565 |</t>
  </si>
  <si>
    <t>| CHQ/Offline &amp;/20221208/Visitjodhpur/4566 |</t>
  </si>
  <si>
    <t>| VfS/Instagram/20221011/visitJaisalmer/3455 |</t>
  </si>
  <si>
    <t>| VIN/TwiTter/20221114/visitbikaner/5666 |</t>
  </si>
  <si>
    <t>| NEFT/Facebook/20221117/Visitjaipur/5676 |</t>
  </si>
  <si>
    <t>| CHQ/YouTube &amp;/20221120/Visitrajasthan/4564 |</t>
  </si>
  <si>
    <t>| VIN/OfflINe &amp;/20221126/Visitjodhpur/4566 |</t>
  </si>
  <si>
    <t>| CHQ/Facebook/20221201/Visitjaipur/5676 |</t>
  </si>
  <si>
    <t>| VfS/YouTube/20221204/Visitrajasthan/4564 |</t>
  </si>
  <si>
    <t>| NEFT/Instagram/20221207/visitudaipur/4565 |</t>
  </si>
  <si>
    <t>| CHQ/Offline &amp;/20221210/Visitjodhpur/4566 |</t>
  </si>
  <si>
    <t>| VfS/Google Ads/20221213/visitJaisalmer/3455 |</t>
  </si>
  <si>
    <t>| VIN/TwiTter/20221216/visitbikaner/5666 |</t>
  </si>
  <si>
    <t>| NEFT/Facebook/20221219/Visitjaipur/5676 |</t>
  </si>
  <si>
    <t>| CHQ/YouTube &amp;/20221222/Visitrajasthan/4564 |</t>
  </si>
  <si>
    <t>| VfS/Instagram/20221225/visitudaipur/4565 |</t>
  </si>
  <si>
    <t>| VIN/OfflINe &amp;/20221228/Visitjodhpur/4566 |</t>
  </si>
  <si>
    <t>| CHQ/Facebook/20221001/Visitjaipur/5676 |</t>
  </si>
  <si>
    <t>| VfS/YouTube/20221004/Visitrajasthan/4564 |</t>
  </si>
  <si>
    <t>| NEFT/Instagram/20221007/visitudaipur/4565 |</t>
  </si>
  <si>
    <t>| CHQ/Offline &amp;/20221010/Visitjodhpur/4566 |</t>
  </si>
  <si>
    <t>| VfS/Offline/20221013/visitJaisalmer/3455 |</t>
  </si>
  <si>
    <t>| VIN/TwiTter/20221016/visitbikaner/5666 |</t>
  </si>
  <si>
    <t>| NEFT/Facebook/20221019/Visitjaipur/5676 |</t>
  </si>
  <si>
    <t>| CHQ/YouTube &amp;/20221022/Visitrajasthan/4564 |</t>
  </si>
  <si>
    <t>| VfS/Instagram/20221025/visitudaipur/4565 |</t>
  </si>
  <si>
    <t>| VIN/OfflINe &amp;/20221028/Visitjodhpur/4566 |</t>
  </si>
  <si>
    <t>| CHQ/Facebook/20221101/Visitjaipur/5676 |</t>
  </si>
  <si>
    <t>| VfS/YouTube/20221104/Visitrajasthan/4564 |</t>
  </si>
  <si>
    <t>| NEFT/Instagram/20221107/visitudaipur/4565 |</t>
  </si>
  <si>
    <t>| CHQ/Offline &amp;/20221110/Visitjodhpur/4566 |</t>
  </si>
  <si>
    <t>| VfS/Google Ads/20221113/visitJaisalmer/3455 |</t>
  </si>
  <si>
    <t>| VIN/TwiTter/20221116/visitbikaner/5666 |</t>
  </si>
  <si>
    <t>| NEFT/Facebook/20221119/Visitjaipur/5676 |</t>
  </si>
  <si>
    <t>| CHQ/YouTube &amp;/20221122/Visitrajasthan/4564 |</t>
  </si>
  <si>
    <t>| VfS/Instagram/20221125/visitudaipur/4565 |</t>
  </si>
  <si>
    <t>| VIN/OfflINe &amp;/20221128/Visitjodhpur/4566 |</t>
  </si>
  <si>
    <t>| VfS/Google Ads/20221013/visitJaisalmer/3455 |</t>
  </si>
  <si>
    <t>| NEFT/Youtube/20221119/Visitjaipur/5676 |</t>
  </si>
  <si>
    <t>| NEFT/Offline/20221119/Visitjaipur/5676 |</t>
  </si>
  <si>
    <t>| CHQ/Instagram/20221101/Visitjaipur/5676 |</t>
  </si>
  <si>
    <t>| NEFT/Instagram/20221119/Visitjaipur/5676 |</t>
  </si>
  <si>
    <t>| CHQ/Google Ads/20221101/Visitjaipur/5676 |</t>
  </si>
  <si>
    <t>| NEFT/twitter/20221119/Visitjaipur/5676 |</t>
  </si>
  <si>
    <t>|Vin/Facebook/20221019/Visitrajasthan/5676|</t>
  </si>
  <si>
    <t>|Chq/Youtube/20221022/Visitrajasthan/4564|</t>
  </si>
  <si>
    <t>|Vfs/Instagram/20221025/Visitrajasthan/4565|</t>
  </si>
  <si>
    <t>|Neft/Offline/20221028/Visitrajasthan/4566|</t>
  </si>
  <si>
    <t>|Chq/Google Ads/20221101/Visitrajasthan/3455|</t>
  </si>
  <si>
    <t>|Vfs/Twitter/20221104/Visitrajasthan/5666|</t>
  </si>
  <si>
    <t>|Vin/Facebook/20221107/Visitudaipur/5676|</t>
  </si>
  <si>
    <t>|Neft/Youtube/20221110/Visitudaipur/4564|</t>
  </si>
  <si>
    <t>|Chq/Instagram/20221113/Visitudaipur/4565|</t>
  </si>
  <si>
    <t>|Vfs/Offline/20221116/Visitudaipur/4566|</t>
  </si>
  <si>
    <t>|Vin/Google Ads/20221119/Visitudaipur/3455|</t>
  </si>
  <si>
    <t>|Chq/Twitter/20221122/Visitudaipur/5666|</t>
  </si>
  <si>
    <t>|Vfs/Facebook/20221125/Visitjodhpur/5676|</t>
  </si>
  <si>
    <t>|Chq/Instagram/20221101/Visitjodhpur/4565|</t>
  </si>
  <si>
    <t>|Vfs/Offline/20221104/Visitjodhpur/4566|</t>
  </si>
  <si>
    <t>|Vin/Google Ads/20221107/Visitjodhpur/3455|</t>
  </si>
  <si>
    <t>|Neft/Twitter/20221110/Visitjodhpur/5666|</t>
  </si>
  <si>
    <t>|Chq/Facebook/20221113/Visitjaisalmer/5676|</t>
  </si>
  <si>
    <t>|Vfs/Youtube/20221116/Visitjaisalmer/4564|</t>
  </si>
  <si>
    <t>|Vin/Instagram/20221119/Visitjaisalmer/4565|</t>
  </si>
  <si>
    <t>|Chq/Offline/20221122/Visitjaisalmer/4566|</t>
  </si>
  <si>
    <t>|Vfs/Google Ads/20221125/Visitjaisalmer/3455|</t>
  </si>
  <si>
    <t>|Neft/Twitter/20221128/Visitjaisalmer/5666|</t>
  </si>
  <si>
    <t>|Chq/Facebook/20221101/Visitbikaner/5676|</t>
  </si>
  <si>
    <t>|Vfs/Youtube/20221104/Visitbikaner/4564|</t>
  </si>
  <si>
    <t>|Vin/Instagram/20221107/Visitbikaner/4565|</t>
  </si>
  <si>
    <t>|Neft/Offline/20221110/Visitbikaner/4566|</t>
  </si>
  <si>
    <t>|Chq/Google Ads/20221113/Visitbikaner/3455|</t>
  </si>
  <si>
    <t>|Vfs/Twitter/20221116/Visitbikaner/5666|</t>
  </si>
  <si>
    <t>|Vin/Facebook/20221219/Visitjaipur/5676|</t>
  </si>
  <si>
    <t>|Chq/Youtube/20221222/Visitjaipur/4564|</t>
  </si>
  <si>
    <t>|Vfs/Instagram/20221225/Visitjaipur/4565|</t>
  </si>
  <si>
    <t>|Neft/Offline/20221228/Visitjaipur/4566|</t>
  </si>
  <si>
    <t>|Chq/Google Ads/20221201/Visitjaipur/3455|</t>
  </si>
  <si>
    <t>|Vfs/Twitter/20221204/Visitjaipur/5666|</t>
  </si>
  <si>
    <t>|Vin/Facebook/20221207/Visitrajasthan/5676|</t>
  </si>
  <si>
    <t>|Neft/Youtube/20221210/Visitrajasthan/4564|</t>
  </si>
  <si>
    <t>|Chq/Instagram/20221213/Visitrajasthan/4565|</t>
  </si>
  <si>
    <t>|Vfs/Offline/20221216/Visitrajasthan/4566|</t>
  </si>
  <si>
    <t>|Vin/Google Ads/20221219/Visitrajasthan/3455|</t>
  </si>
  <si>
    <t>|Chq/Twitter/20221222/Visitrajasthan/5666|</t>
  </si>
  <si>
    <t>|Vfs/Facebook/20221225/Visitudaipur/5676|</t>
  </si>
  <si>
    <t>|Neft/Youtube/20221228/Visitudaipur/4564|</t>
  </si>
  <si>
    <t>|Chq/Instagram/20221201/Visitudaipur/4565|</t>
  </si>
  <si>
    <t>|Vfs/Offline/20221204/Visitudaipur/4566|</t>
  </si>
  <si>
    <t>|Vin/Google Ads/20221207/Visitudaipur/3455|</t>
  </si>
  <si>
    <t>|Neft/Twitter/20221210/Visitudaipur/5666|</t>
  </si>
  <si>
    <t>|Chq/Facebook/20221213/Visitjodhpur/5676|</t>
  </si>
  <si>
    <t>|Vfs/Youtube/20221216/Visitjodhpur/4564|</t>
  </si>
  <si>
    <t>|Vin/Instagram/20221219/Visitjodhpur/4565|</t>
  </si>
  <si>
    <t>|Chq/Offline/20221222/Visitjodhpur/4566|</t>
  </si>
  <si>
    <t>|Vfs/Google Ads/20221225/Visitjodhpur/3455|</t>
  </si>
  <si>
    <t>|Neft/Twitter/20221228/Visitjodhpur/5666|</t>
  </si>
  <si>
    <t>|Chq/FacEBook/20221201/Visitjaisalmer/5676|</t>
  </si>
  <si>
    <t>|Vfs/Youtube/20221204/Visitjaisalmer/4564|</t>
  </si>
  <si>
    <t>|Vin/Instagram/20221207/Visitjaisalmer/4565|</t>
  </si>
  <si>
    <t>|Neft/Offline/20221210/Visitjaisalmer/4566|</t>
  </si>
  <si>
    <t>|Chq/Google Ads/20221213/Visitjaisalmer/3455|</t>
  </si>
  <si>
    <t>|Vfs/Twitter/20221216/VisitjAIsalmer/5666|</t>
  </si>
  <si>
    <t>|Vin/Facebook/20221219/Visitbikaner/5676|</t>
  </si>
  <si>
    <t>|Chq/Youtube/20221222/Visitbikaner/4564|</t>
  </si>
  <si>
    <t>|Vfs/Instagram/20221225/Visitbikaner/4565|</t>
  </si>
  <si>
    <t>|Neft/Offline/20221228/Visitbikaner/4566|</t>
  </si>
  <si>
    <t>|Chq/Google Ads/20221201/Visitbikaner/3455|</t>
  </si>
  <si>
    <t>|Vfs/Twitter/20221204/Visitbikaner/5666|</t>
  </si>
  <si>
    <t>|Vfs/Twitter/20221104/Visitbikaner/5666|</t>
  </si>
  <si>
    <t>|Vfs/Facebook/20221104/Visitrajasthan/5666|</t>
  </si>
  <si>
    <t>|Vfs/Instagram/20221104/Visitrajasthan/5666|</t>
  </si>
  <si>
    <t>|Vfs/Offline/20221104/Visitrajasthan/5666|</t>
  </si>
  <si>
    <t>| Vfs/Youtube/20221104/Visitjodhpur/5666 |</t>
  </si>
  <si>
    <t>Quaterly Variance Analysis</t>
  </si>
  <si>
    <t>Performance Analysis</t>
  </si>
  <si>
    <t>Count</t>
  </si>
  <si>
    <t>Monthly Variance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</si>
</sst>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D9D9D9"/>
      <name val="Arial"/>
      <scheme val="minor"/>
    </font>
    <font>
      <b/>
      <color theme="1"/>
      <name val="Arial"/>
      <scheme val="minor"/>
    </font>
    <font>
      <b/>
      <color rgb="FFD9D9D9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2" fontId="1" numFmtId="0" xfId="0" applyBorder="1" applyFont="1"/>
    <xf borderId="0" fillId="0" fontId="2" numFmtId="0" xfId="0" applyAlignment="1" applyFont="1">
      <alignment horizontal="center" readingOrder="0"/>
    </xf>
    <xf borderId="1" fillId="3" fontId="3" numFmtId="0" xfId="0" applyAlignment="1" applyBorder="1" applyFill="1" applyFont="1">
      <alignment readingOrder="0"/>
    </xf>
    <xf borderId="1" fillId="3" fontId="3" numFmtId="0" xfId="0" applyBorder="1" applyFont="1"/>
    <xf borderId="0" fillId="0" fontId="4" numFmtId="0" xfId="0" applyAlignment="1" applyFont="1">
      <alignment readingOrder="0"/>
    </xf>
    <xf borderId="1" fillId="3" fontId="5" numFmtId="0" xfId="0" applyAlignment="1" applyBorder="1" applyFont="1">
      <alignment readingOrder="0"/>
    </xf>
    <xf borderId="0" fillId="0" fontId="3" numFmtId="0" xfId="0" applyFont="1"/>
    <xf borderId="0" fillId="4" fontId="4" numFmtId="0" xfId="0" applyAlignment="1" applyFill="1" applyFont="1">
      <alignment horizontal="center"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5" fontId="4" numFmtId="0" xfId="0" applyAlignment="1" applyFill="1" applyFont="1">
      <alignment horizontal="center" readingOrder="0"/>
    </xf>
    <xf borderId="0" fillId="5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3" t="s">
        <v>7</v>
      </c>
      <c r="C2" s="3" t="s">
        <v>8</v>
      </c>
      <c r="D2" s="4">
        <v>2508100.0</v>
      </c>
      <c r="E2" s="3">
        <f>SUMIFS('Transaction data'!$C$2:$C$645,'Transaction data'!$B$2:$B$645,$A2,'Transaction data'!$Q$2:$Q$645,$B2,'Transaction data'!$O$2:$O$645,$C2)</f>
        <v>2128100</v>
      </c>
      <c r="F2" s="3">
        <f t="shared" ref="F2:F109" si="1">D2-E2</f>
        <v>380000</v>
      </c>
    </row>
    <row r="3">
      <c r="A3" s="3" t="s">
        <v>6</v>
      </c>
      <c r="B3" s="3" t="s">
        <v>7</v>
      </c>
      <c r="C3" s="3" t="s">
        <v>9</v>
      </c>
      <c r="D3" s="3">
        <v>22600.0</v>
      </c>
      <c r="E3" s="3">
        <f>SUMIFS('Transaction data'!$C$2:$C$645,'Transaction data'!$B$2:$B$645,$A3,'Transaction data'!$Q$2:$Q$645,$B3,'Transaction data'!$O$2:$O$645,$C3)</f>
        <v>21500</v>
      </c>
      <c r="F3" s="3">
        <f t="shared" si="1"/>
        <v>1100</v>
      </c>
    </row>
    <row r="4">
      <c r="A4" s="3" t="s">
        <v>6</v>
      </c>
      <c r="B4" s="3" t="s">
        <v>7</v>
      </c>
      <c r="C4" s="3" t="s">
        <v>10</v>
      </c>
      <c r="D4" s="3">
        <v>11500.0</v>
      </c>
      <c r="E4" s="3">
        <f>SUMIFS('Transaction data'!$C$2:$C$645,'Transaction data'!$B$2:$B$645,$A4,'Transaction data'!$Q$2:$Q$645,$B4,'Transaction data'!$O$2:$O$645,$C4)</f>
        <v>12100</v>
      </c>
      <c r="F4" s="3">
        <f t="shared" si="1"/>
        <v>-600</v>
      </c>
    </row>
    <row r="5">
      <c r="A5" s="3" t="s">
        <v>6</v>
      </c>
      <c r="B5" s="3" t="s">
        <v>7</v>
      </c>
      <c r="C5" s="3" t="s">
        <v>11</v>
      </c>
      <c r="D5" s="3">
        <v>64900.0</v>
      </c>
      <c r="E5" s="3">
        <f>SUMIFS('Transaction data'!$C$2:$C$645,'Transaction data'!$B$2:$B$645,$A5,'Transaction data'!$Q$2:$Q$645,$B5,'Transaction data'!$O$2:$O$645,$C5)</f>
        <v>58400</v>
      </c>
      <c r="F5" s="3">
        <f t="shared" si="1"/>
        <v>6500</v>
      </c>
    </row>
    <row r="6">
      <c r="A6" s="3" t="s">
        <v>6</v>
      </c>
      <c r="B6" s="3" t="s">
        <v>7</v>
      </c>
      <c r="C6" s="3" t="s">
        <v>12</v>
      </c>
      <c r="D6" s="3">
        <v>22900.0</v>
      </c>
      <c r="E6" s="3">
        <f>SUMIFS('Transaction data'!$C$2:$C$645,'Transaction data'!$B$2:$B$645,$A6,'Transaction data'!$Q$2:$Q$645,$B6,'Transaction data'!$O$2:$O$645,$C6)</f>
        <v>71500</v>
      </c>
      <c r="F6" s="3">
        <f t="shared" si="1"/>
        <v>-48600</v>
      </c>
    </row>
    <row r="7">
      <c r="A7" s="3" t="s">
        <v>6</v>
      </c>
      <c r="B7" s="3" t="s">
        <v>7</v>
      </c>
      <c r="C7" s="3" t="s">
        <v>13</v>
      </c>
      <c r="D7" s="3">
        <v>85300.0</v>
      </c>
      <c r="E7" s="3">
        <f>SUMIFS('Transaction data'!$C$2:$C$645,'Transaction data'!$B$2:$B$645,$A7,'Transaction data'!$Q$2:$Q$645,$B7,'Transaction data'!$O$2:$O$645,$C7)</f>
        <v>17200</v>
      </c>
      <c r="F7" s="3">
        <f t="shared" si="1"/>
        <v>68100</v>
      </c>
    </row>
    <row r="8">
      <c r="A8" s="3" t="s">
        <v>6</v>
      </c>
      <c r="B8" s="3" t="s">
        <v>14</v>
      </c>
      <c r="C8" s="3" t="s">
        <v>8</v>
      </c>
      <c r="D8" s="3">
        <v>29800.0</v>
      </c>
      <c r="E8" s="3">
        <f>SUMIFS('Transaction data'!$C$2:$C$645,'Transaction data'!$B$2:$B$645,$A8,'Transaction data'!$Q$2:$Q$645,$B8,'Transaction data'!$O$2:$O$645,$C8)</f>
        <v>105800</v>
      </c>
      <c r="F8" s="3">
        <f t="shared" si="1"/>
        <v>-76000</v>
      </c>
    </row>
    <row r="9">
      <c r="A9" s="3" t="s">
        <v>6</v>
      </c>
      <c r="B9" s="3" t="s">
        <v>14</v>
      </c>
      <c r="C9" s="3" t="s">
        <v>9</v>
      </c>
      <c r="D9" s="4">
        <v>2048000.0</v>
      </c>
      <c r="E9" s="3">
        <f>SUMIFS('Transaction data'!$C$2:$C$645,'Transaction data'!$B$2:$B$645,$A9,'Transaction data'!$Q$2:$Q$645,$B9,'Transaction data'!$O$2:$O$645,$C9)</f>
        <v>1948000</v>
      </c>
      <c r="F9" s="3">
        <f t="shared" si="1"/>
        <v>100000</v>
      </c>
    </row>
    <row r="10">
      <c r="A10" s="3" t="s">
        <v>6</v>
      </c>
      <c r="B10" s="3" t="s">
        <v>14</v>
      </c>
      <c r="C10" s="3" t="s">
        <v>10</v>
      </c>
      <c r="D10" s="3">
        <v>19700.0</v>
      </c>
      <c r="E10" s="3">
        <f>SUMIFS('Transaction data'!$C$2:$C$645,'Transaction data'!$B$2:$B$645,$A10,'Transaction data'!$Q$2:$Q$645,$B10,'Transaction data'!$O$2:$O$645,$C10)</f>
        <v>52900</v>
      </c>
      <c r="F10" s="3">
        <f t="shared" si="1"/>
        <v>-33200</v>
      </c>
    </row>
    <row r="11">
      <c r="A11" s="3" t="s">
        <v>6</v>
      </c>
      <c r="B11" s="3" t="s">
        <v>14</v>
      </c>
      <c r="C11" s="3" t="s">
        <v>11</v>
      </c>
      <c r="D11" s="3">
        <v>80200.0</v>
      </c>
      <c r="E11" s="3">
        <f>SUMIFS('Transaction data'!$C$2:$C$645,'Transaction data'!$B$2:$B$645,$A11,'Transaction data'!$Q$2:$Q$645,$B11,'Transaction data'!$O$2:$O$645,$C11)</f>
        <v>87900</v>
      </c>
      <c r="F11" s="3">
        <f t="shared" si="1"/>
        <v>-7700</v>
      </c>
    </row>
    <row r="12">
      <c r="A12" s="3" t="s">
        <v>6</v>
      </c>
      <c r="B12" s="3" t="s">
        <v>14</v>
      </c>
      <c r="C12" s="3" t="s">
        <v>12</v>
      </c>
      <c r="D12" s="3">
        <v>16200.0</v>
      </c>
      <c r="E12" s="3">
        <f>SUMIFS('Transaction data'!$C$2:$C$645,'Transaction data'!$B$2:$B$645,$A12,'Transaction data'!$Q$2:$Q$645,$B12,'Transaction data'!$O$2:$O$645,$C12)</f>
        <v>54700</v>
      </c>
      <c r="F12" s="3">
        <f t="shared" si="1"/>
        <v>-38500</v>
      </c>
    </row>
    <row r="13">
      <c r="A13" s="3" t="s">
        <v>6</v>
      </c>
      <c r="B13" s="3" t="s">
        <v>14</v>
      </c>
      <c r="C13" s="3" t="s">
        <v>13</v>
      </c>
      <c r="D13" s="3">
        <v>96600.0</v>
      </c>
      <c r="E13" s="3">
        <f>SUMIFS('Transaction data'!$C$2:$C$645,'Transaction data'!$B$2:$B$645,$A13,'Transaction data'!$Q$2:$Q$645,$B13,'Transaction data'!$O$2:$O$645,$C13)</f>
        <v>48000</v>
      </c>
      <c r="F13" s="3">
        <f t="shared" si="1"/>
        <v>48600</v>
      </c>
    </row>
    <row r="14">
      <c r="A14" s="3" t="s">
        <v>6</v>
      </c>
      <c r="B14" s="3" t="s">
        <v>15</v>
      </c>
      <c r="C14" s="3" t="s">
        <v>8</v>
      </c>
      <c r="D14" s="3">
        <v>29400.0</v>
      </c>
      <c r="E14" s="3">
        <f>SUMIFS('Transaction data'!$C$2:$C$645,'Transaction data'!$B$2:$B$645,$A14,'Transaction data'!$Q$2:$Q$645,$B14,'Transaction data'!$O$2:$O$645,$C14)</f>
        <v>73900</v>
      </c>
      <c r="F14" s="3">
        <f t="shared" si="1"/>
        <v>-44500</v>
      </c>
    </row>
    <row r="15">
      <c r="A15" s="3" t="s">
        <v>6</v>
      </c>
      <c r="B15" s="3" t="s">
        <v>15</v>
      </c>
      <c r="C15" s="3" t="s">
        <v>9</v>
      </c>
      <c r="D15" s="3">
        <v>93200.0</v>
      </c>
      <c r="E15" s="3">
        <f>SUMIFS('Transaction data'!$C$2:$C$645,'Transaction data'!$B$2:$B$645,$A15,'Transaction data'!$Q$2:$Q$645,$B15,'Transaction data'!$O$2:$O$645,$C15)</f>
        <v>62500</v>
      </c>
      <c r="F15" s="3">
        <f t="shared" si="1"/>
        <v>30700</v>
      </c>
    </row>
    <row r="16">
      <c r="A16" s="3" t="s">
        <v>6</v>
      </c>
      <c r="B16" s="3" t="s">
        <v>15</v>
      </c>
      <c r="C16" s="3" t="s">
        <v>10</v>
      </c>
      <c r="D16" s="4">
        <v>1800500.0</v>
      </c>
      <c r="E16" s="3">
        <f>SUMIFS('Transaction data'!$C$2:$C$645,'Transaction data'!$B$2:$B$645,$A16,'Transaction data'!$Q$2:$Q$645,$B16,'Transaction data'!$O$2:$O$645,$C16)</f>
        <v>1917500</v>
      </c>
      <c r="F16" s="3">
        <f t="shared" si="1"/>
        <v>-117000</v>
      </c>
    </row>
    <row r="17">
      <c r="A17" s="3" t="s">
        <v>6</v>
      </c>
      <c r="B17" s="3" t="s">
        <v>15</v>
      </c>
      <c r="C17" s="3" t="s">
        <v>11</v>
      </c>
      <c r="D17" s="3">
        <v>24500.0</v>
      </c>
      <c r="E17" s="3">
        <f>SUMIFS('Transaction data'!$C$2:$C$645,'Transaction data'!$B$2:$B$645,$A17,'Transaction data'!$Q$2:$Q$645,$B17,'Transaction data'!$O$2:$O$645,$C17)</f>
        <v>139700</v>
      </c>
      <c r="F17" s="3">
        <f t="shared" si="1"/>
        <v>-115200</v>
      </c>
    </row>
    <row r="18">
      <c r="A18" s="3" t="s">
        <v>6</v>
      </c>
      <c r="B18" s="3" t="s">
        <v>15</v>
      </c>
      <c r="C18" s="3" t="s">
        <v>12</v>
      </c>
      <c r="D18" s="3">
        <v>53500.0</v>
      </c>
      <c r="E18" s="3">
        <f>SUMIFS('Transaction data'!$C$2:$C$645,'Transaction data'!$B$2:$B$645,$A18,'Transaction data'!$Q$2:$Q$645,$B18,'Transaction data'!$O$2:$O$645,$C18)</f>
        <v>85000</v>
      </c>
      <c r="F18" s="3">
        <f t="shared" si="1"/>
        <v>-31500</v>
      </c>
    </row>
    <row r="19">
      <c r="A19" s="3" t="s">
        <v>6</v>
      </c>
      <c r="B19" s="3" t="s">
        <v>15</v>
      </c>
      <c r="C19" s="3" t="s">
        <v>13</v>
      </c>
      <c r="D19" s="3">
        <v>91800.0</v>
      </c>
      <c r="E19" s="3">
        <f>SUMIFS('Transaction data'!$C$2:$C$645,'Transaction data'!$B$2:$B$645,$A19,'Transaction data'!$Q$2:$Q$645,$B19,'Transaction data'!$O$2:$O$645,$C19)</f>
        <v>99200</v>
      </c>
      <c r="F19" s="3">
        <f t="shared" si="1"/>
        <v>-7400</v>
      </c>
    </row>
    <row r="20">
      <c r="A20" s="3" t="s">
        <v>6</v>
      </c>
      <c r="B20" s="3" t="s">
        <v>16</v>
      </c>
      <c r="C20" s="3" t="s">
        <v>8</v>
      </c>
      <c r="D20" s="3">
        <v>51600.0</v>
      </c>
      <c r="E20" s="3">
        <f>SUMIFS('Transaction data'!$C$2:$C$645,'Transaction data'!$B$2:$B$645,$A20,'Transaction data'!$Q$2:$Q$645,$B20,'Transaction data'!$O$2:$O$645,$C20)</f>
        <v>19200</v>
      </c>
      <c r="F20" s="3">
        <f t="shared" si="1"/>
        <v>32400</v>
      </c>
    </row>
    <row r="21">
      <c r="A21" s="3" t="s">
        <v>6</v>
      </c>
      <c r="B21" s="3" t="s">
        <v>16</v>
      </c>
      <c r="C21" s="3" t="s">
        <v>9</v>
      </c>
      <c r="D21" s="3">
        <v>49200.0</v>
      </c>
      <c r="E21" s="3">
        <f>SUMIFS('Transaction data'!$C$2:$C$645,'Transaction data'!$B$2:$B$645,$A21,'Transaction data'!$Q$2:$Q$645,$B21,'Transaction data'!$O$2:$O$645,$C21)</f>
        <v>53000</v>
      </c>
      <c r="F21" s="3">
        <f t="shared" si="1"/>
        <v>-3800</v>
      </c>
    </row>
    <row r="22">
      <c r="A22" s="3" t="s">
        <v>6</v>
      </c>
      <c r="B22" s="3" t="s">
        <v>16</v>
      </c>
      <c r="C22" s="3" t="s">
        <v>10</v>
      </c>
      <c r="D22" s="3">
        <v>63800.0</v>
      </c>
      <c r="E22" s="3">
        <f>SUMIFS('Transaction data'!$C$2:$C$645,'Transaction data'!$B$2:$B$645,$A22,'Transaction data'!$Q$2:$Q$645,$B22,'Transaction data'!$O$2:$O$645,$C22)</f>
        <v>70900</v>
      </c>
      <c r="F22" s="3">
        <f t="shared" si="1"/>
        <v>-7100</v>
      </c>
    </row>
    <row r="23">
      <c r="A23" s="3" t="s">
        <v>6</v>
      </c>
      <c r="B23" s="3" t="s">
        <v>16</v>
      </c>
      <c r="C23" s="3" t="s">
        <v>11</v>
      </c>
      <c r="D23" s="4">
        <v>2000000.0</v>
      </c>
      <c r="E23" s="3">
        <f>SUMIFS('Transaction data'!$C$2:$C$645,'Transaction data'!$B$2:$B$645,$A23,'Transaction data'!$Q$2:$Q$645,$B23,'Transaction data'!$O$2:$O$645,$C23)</f>
        <v>2017100</v>
      </c>
      <c r="F23" s="3">
        <f t="shared" si="1"/>
        <v>-17100</v>
      </c>
    </row>
    <row r="24">
      <c r="A24" s="3" t="s">
        <v>6</v>
      </c>
      <c r="B24" s="3" t="s">
        <v>16</v>
      </c>
      <c r="C24" s="3" t="s">
        <v>12</v>
      </c>
      <c r="D24" s="3">
        <v>80300.0</v>
      </c>
      <c r="E24" s="3">
        <f>SUMIFS('Transaction data'!$C$2:$C$645,'Transaction data'!$B$2:$B$645,$A24,'Transaction data'!$Q$2:$Q$645,$B24,'Transaction data'!$O$2:$O$645,$C24)</f>
        <v>12800</v>
      </c>
      <c r="F24" s="3">
        <f t="shared" si="1"/>
        <v>67500</v>
      </c>
    </row>
    <row r="25">
      <c r="A25" s="3" t="s">
        <v>6</v>
      </c>
      <c r="B25" s="3" t="s">
        <v>16</v>
      </c>
      <c r="C25" s="3" t="s">
        <v>13</v>
      </c>
      <c r="D25" s="3">
        <v>45400.0</v>
      </c>
      <c r="E25" s="3">
        <f>SUMIFS('Transaction data'!$C$2:$C$645,'Transaction data'!$B$2:$B$645,$A25,'Transaction data'!$Q$2:$Q$645,$B25,'Transaction data'!$O$2:$O$645,$C25)</f>
        <v>20100</v>
      </c>
      <c r="F25" s="3">
        <f t="shared" si="1"/>
        <v>25300</v>
      </c>
    </row>
    <row r="26">
      <c r="A26" s="3" t="s">
        <v>6</v>
      </c>
      <c r="B26" s="3" t="s">
        <v>17</v>
      </c>
      <c r="C26" s="3" t="s">
        <v>8</v>
      </c>
      <c r="D26" s="3">
        <v>76400.0</v>
      </c>
      <c r="E26" s="3">
        <f>SUMIFS('Transaction data'!$C$2:$C$645,'Transaction data'!$B$2:$B$645,$A26,'Transaction data'!$Q$2:$Q$645,$B26,'Transaction data'!$O$2:$O$645,$C26)</f>
        <v>52100</v>
      </c>
      <c r="F26" s="3">
        <f t="shared" si="1"/>
        <v>24300</v>
      </c>
    </row>
    <row r="27">
      <c r="A27" s="3" t="s">
        <v>6</v>
      </c>
      <c r="B27" s="3" t="s">
        <v>17</v>
      </c>
      <c r="C27" s="3" t="s">
        <v>9</v>
      </c>
      <c r="D27" s="3">
        <v>79100.0</v>
      </c>
      <c r="E27" s="3">
        <f>SUMIFS('Transaction data'!$C$2:$C$645,'Transaction data'!$B$2:$B$645,$A27,'Transaction data'!$Q$2:$Q$645,$B27,'Transaction data'!$O$2:$O$645,$C27)</f>
        <v>43000</v>
      </c>
      <c r="F27" s="3">
        <f t="shared" si="1"/>
        <v>36100</v>
      </c>
    </row>
    <row r="28">
      <c r="A28" s="3" t="s">
        <v>6</v>
      </c>
      <c r="B28" s="3" t="s">
        <v>17</v>
      </c>
      <c r="C28" s="3" t="s">
        <v>10</v>
      </c>
      <c r="D28" s="3">
        <v>83800.0</v>
      </c>
      <c r="E28" s="3">
        <f>SUMIFS('Transaction data'!$C$2:$C$645,'Transaction data'!$B$2:$B$645,$A28,'Transaction data'!$Q$2:$Q$645,$B28,'Transaction data'!$O$2:$O$645,$C28)</f>
        <v>24800</v>
      </c>
      <c r="F28" s="3">
        <f t="shared" si="1"/>
        <v>59000</v>
      </c>
    </row>
    <row r="29">
      <c r="A29" s="3" t="s">
        <v>6</v>
      </c>
      <c r="B29" s="3" t="s">
        <v>17</v>
      </c>
      <c r="C29" s="3" t="s">
        <v>11</v>
      </c>
      <c r="D29" s="3">
        <v>14000.0</v>
      </c>
      <c r="E29" s="3">
        <f>SUMIFS('Transaction data'!$C$2:$C$645,'Transaction data'!$B$2:$B$645,$A29,'Transaction data'!$Q$2:$Q$645,$B29,'Transaction data'!$O$2:$O$645,$C29)</f>
        <v>86800</v>
      </c>
      <c r="F29" s="3">
        <f t="shared" si="1"/>
        <v>-72800</v>
      </c>
    </row>
    <row r="30">
      <c r="A30" s="3" t="s">
        <v>6</v>
      </c>
      <c r="B30" s="3" t="s">
        <v>17</v>
      </c>
      <c r="C30" s="3" t="s">
        <v>12</v>
      </c>
      <c r="D30" s="4">
        <v>868000.0</v>
      </c>
      <c r="E30" s="3">
        <f>SUMIFS('Transaction data'!$C$2:$C$645,'Transaction data'!$B$2:$B$645,$A30,'Transaction data'!$Q$2:$Q$645,$B30,'Transaction data'!$O$2:$O$645,$C30)</f>
        <v>768000</v>
      </c>
      <c r="F30" s="3">
        <f t="shared" si="1"/>
        <v>100000</v>
      </c>
    </row>
    <row r="31">
      <c r="A31" s="3" t="s">
        <v>6</v>
      </c>
      <c r="B31" s="3" t="s">
        <v>17</v>
      </c>
      <c r="C31" s="3" t="s">
        <v>13</v>
      </c>
      <c r="D31" s="3">
        <v>87000.0</v>
      </c>
      <c r="E31" s="3">
        <f>SUMIFS('Transaction data'!$C$2:$C$645,'Transaction data'!$B$2:$B$645,$A31,'Transaction data'!$Q$2:$Q$645,$B31,'Transaction data'!$O$2:$O$645,$C31)</f>
        <v>85600</v>
      </c>
      <c r="F31" s="3">
        <f t="shared" si="1"/>
        <v>1400</v>
      </c>
    </row>
    <row r="32">
      <c r="A32" s="3" t="s">
        <v>6</v>
      </c>
      <c r="B32" s="3" t="s">
        <v>18</v>
      </c>
      <c r="C32" s="3" t="s">
        <v>8</v>
      </c>
      <c r="D32" s="3">
        <v>43300.0</v>
      </c>
      <c r="E32" s="3">
        <f>SUMIFS('Transaction data'!$C$2:$C$645,'Transaction data'!$B$2:$B$645,$A32,'Transaction data'!$Q$2:$Q$645,$B32,'Transaction data'!$O$2:$O$645,$C32)</f>
        <v>83000</v>
      </c>
      <c r="F32" s="3">
        <f t="shared" si="1"/>
        <v>-39700</v>
      </c>
    </row>
    <row r="33">
      <c r="A33" s="3" t="s">
        <v>6</v>
      </c>
      <c r="B33" s="3" t="s">
        <v>18</v>
      </c>
      <c r="C33" s="3" t="s">
        <v>9</v>
      </c>
      <c r="D33" s="3">
        <v>61100.0</v>
      </c>
      <c r="E33" s="3">
        <f>SUMIFS('Transaction data'!$C$2:$C$645,'Transaction data'!$B$2:$B$645,$A33,'Transaction data'!$Q$2:$Q$645,$B33,'Transaction data'!$O$2:$O$645,$C33)</f>
        <v>19000</v>
      </c>
      <c r="F33" s="3">
        <f t="shared" si="1"/>
        <v>42100</v>
      </c>
    </row>
    <row r="34">
      <c r="A34" s="3" t="s">
        <v>6</v>
      </c>
      <c r="B34" s="3" t="s">
        <v>18</v>
      </c>
      <c r="C34" s="3" t="s">
        <v>10</v>
      </c>
      <c r="D34" s="3">
        <v>45800.0</v>
      </c>
      <c r="E34" s="3">
        <f>SUMIFS('Transaction data'!$C$2:$C$645,'Transaction data'!$B$2:$B$645,$A34,'Transaction data'!$Q$2:$Q$645,$B34,'Transaction data'!$O$2:$O$645,$C34)</f>
        <v>64400</v>
      </c>
      <c r="F34" s="3">
        <f t="shared" si="1"/>
        <v>-18600</v>
      </c>
    </row>
    <row r="35">
      <c r="A35" s="3" t="s">
        <v>6</v>
      </c>
      <c r="B35" s="3" t="s">
        <v>18</v>
      </c>
      <c r="C35" s="3" t="s">
        <v>11</v>
      </c>
      <c r="D35" s="3">
        <v>73000.0</v>
      </c>
      <c r="E35" s="3">
        <f>SUMIFS('Transaction data'!$C$2:$C$645,'Transaction data'!$B$2:$B$645,$A35,'Transaction data'!$Q$2:$Q$645,$B35,'Transaction data'!$O$2:$O$645,$C35)</f>
        <v>42500</v>
      </c>
      <c r="F35" s="3">
        <f t="shared" si="1"/>
        <v>30500</v>
      </c>
    </row>
    <row r="36">
      <c r="A36" s="3" t="s">
        <v>6</v>
      </c>
      <c r="B36" s="3" t="s">
        <v>18</v>
      </c>
      <c r="C36" s="3" t="s">
        <v>12</v>
      </c>
      <c r="D36" s="3">
        <v>69100.0</v>
      </c>
      <c r="E36" s="3">
        <f>SUMIFS('Transaction data'!$C$2:$C$645,'Transaction data'!$B$2:$B$645,$A36,'Transaction data'!$Q$2:$Q$645,$B36,'Transaction data'!$O$2:$O$645,$C36)</f>
        <v>90000</v>
      </c>
      <c r="F36" s="3">
        <f t="shared" si="1"/>
        <v>-20900</v>
      </c>
    </row>
    <row r="37">
      <c r="A37" s="3" t="s">
        <v>6</v>
      </c>
      <c r="B37" s="3" t="s">
        <v>18</v>
      </c>
      <c r="C37" s="3" t="s">
        <v>13</v>
      </c>
      <c r="D37" s="3">
        <v>98000.0</v>
      </c>
      <c r="E37" s="3">
        <f>SUMIFS('Transaction data'!$C$2:$C$645,'Transaction data'!$B$2:$B$645,$A37,'Transaction data'!$Q$2:$Q$645,$B37,'Transaction data'!$O$2:$O$645,$C37)</f>
        <v>787100</v>
      </c>
      <c r="F37" s="3">
        <f t="shared" si="1"/>
        <v>-689100</v>
      </c>
    </row>
    <row r="38">
      <c r="A38" s="3" t="s">
        <v>19</v>
      </c>
      <c r="B38" s="3" t="s">
        <v>7</v>
      </c>
      <c r="C38" s="3" t="s">
        <v>8</v>
      </c>
      <c r="D38" s="4">
        <v>2079200.0</v>
      </c>
      <c r="E38" s="3">
        <f>SUMIFS('Transaction data'!$C$2:$C$645,'Transaction data'!$B$2:$B$645,$A38,'Transaction data'!$Q$2:$Q$645,$B38,'Transaction data'!$O$2:$O$645,$C38)</f>
        <v>1879200</v>
      </c>
      <c r="F38" s="3">
        <f t="shared" si="1"/>
        <v>200000</v>
      </c>
    </row>
    <row r="39">
      <c r="A39" s="3" t="s">
        <v>19</v>
      </c>
      <c r="B39" s="3" t="s">
        <v>7</v>
      </c>
      <c r="C39" s="3" t="s">
        <v>9</v>
      </c>
      <c r="D39" s="3">
        <v>22100.0</v>
      </c>
      <c r="E39" s="3">
        <f>SUMIFS('Transaction data'!$C$2:$C$645,'Transaction data'!$B$2:$B$645,$A39,'Transaction data'!$Q$2:$Q$645,$B39,'Transaction data'!$O$2:$O$645,$C39)</f>
        <v>62400</v>
      </c>
      <c r="F39" s="3">
        <f t="shared" si="1"/>
        <v>-40300</v>
      </c>
    </row>
    <row r="40">
      <c r="A40" s="3" t="s">
        <v>19</v>
      </c>
      <c r="B40" s="3" t="s">
        <v>7</v>
      </c>
      <c r="C40" s="3" t="s">
        <v>10</v>
      </c>
      <c r="D40" s="3">
        <v>59700.0</v>
      </c>
      <c r="E40" s="3">
        <f>SUMIFS('Transaction data'!$C$2:$C$645,'Transaction data'!$B$2:$B$645,$A40,'Transaction data'!$Q$2:$Q$645,$B40,'Transaction data'!$O$2:$O$645,$C40)</f>
        <v>91600</v>
      </c>
      <c r="F40" s="3">
        <f t="shared" si="1"/>
        <v>-31900</v>
      </c>
    </row>
    <row r="41">
      <c r="A41" s="3" t="s">
        <v>19</v>
      </c>
      <c r="B41" s="3" t="s">
        <v>7</v>
      </c>
      <c r="C41" s="3" t="s">
        <v>11</v>
      </c>
      <c r="D41" s="3">
        <v>10100.0</v>
      </c>
      <c r="E41" s="3">
        <f>SUMIFS('Transaction data'!$C$2:$C$645,'Transaction data'!$B$2:$B$645,$A41,'Transaction data'!$Q$2:$Q$645,$B41,'Transaction data'!$O$2:$O$645,$C41)</f>
        <v>94600</v>
      </c>
      <c r="F41" s="3">
        <f t="shared" si="1"/>
        <v>-84500</v>
      </c>
    </row>
    <row r="42">
      <c r="A42" s="3" t="s">
        <v>19</v>
      </c>
      <c r="B42" s="3" t="s">
        <v>7</v>
      </c>
      <c r="C42" s="3" t="s">
        <v>12</v>
      </c>
      <c r="D42" s="3">
        <v>31100.0</v>
      </c>
      <c r="E42" s="3">
        <f>SUMIFS('Transaction data'!$C$2:$C$645,'Transaction data'!$B$2:$B$645,$A42,'Transaction data'!$Q$2:$Q$645,$B42,'Transaction data'!$O$2:$O$645,$C42)</f>
        <v>32800</v>
      </c>
      <c r="F42" s="3">
        <f t="shared" si="1"/>
        <v>-1700</v>
      </c>
    </row>
    <row r="43">
      <c r="A43" s="3" t="s">
        <v>19</v>
      </c>
      <c r="B43" s="3" t="s">
        <v>7</v>
      </c>
      <c r="C43" s="3" t="s">
        <v>13</v>
      </c>
      <c r="D43" s="3">
        <v>50000.0</v>
      </c>
      <c r="E43" s="3">
        <f>SUMIFS('Transaction data'!$C$2:$C$645,'Transaction data'!$B$2:$B$645,$A43,'Transaction data'!$Q$2:$Q$645,$B43,'Transaction data'!$O$2:$O$645,$C43)</f>
        <v>92800</v>
      </c>
      <c r="F43" s="3">
        <f t="shared" si="1"/>
        <v>-42800</v>
      </c>
    </row>
    <row r="44">
      <c r="A44" s="3" t="s">
        <v>19</v>
      </c>
      <c r="B44" s="3" t="s">
        <v>14</v>
      </c>
      <c r="C44" s="3" t="s">
        <v>8</v>
      </c>
      <c r="D44" s="3">
        <v>81100.0</v>
      </c>
      <c r="E44" s="3">
        <f>SUMIFS('Transaction data'!$C$2:$C$645,'Transaction data'!$B$2:$B$645,$A44,'Transaction data'!$Q$2:$Q$645,$B44,'Transaction data'!$O$2:$O$645,$C44)</f>
        <v>54100</v>
      </c>
      <c r="F44" s="3">
        <f t="shared" si="1"/>
        <v>27000</v>
      </c>
    </row>
    <row r="45">
      <c r="A45" s="3" t="s">
        <v>19</v>
      </c>
      <c r="B45" s="3" t="s">
        <v>14</v>
      </c>
      <c r="C45" s="3" t="s">
        <v>9</v>
      </c>
      <c r="D45" s="4">
        <v>2091500.0</v>
      </c>
      <c r="E45" s="3">
        <f>SUMIFS('Transaction data'!$C$2:$C$645,'Transaction data'!$B$2:$B$645,$A45,'Transaction data'!$Q$2:$Q$645,$B45,'Transaction data'!$O$2:$O$645,$C45)</f>
        <v>1991500</v>
      </c>
      <c r="F45" s="3">
        <f t="shared" si="1"/>
        <v>100000</v>
      </c>
    </row>
    <row r="46">
      <c r="A46" s="3" t="s">
        <v>19</v>
      </c>
      <c r="B46" s="3" t="s">
        <v>14</v>
      </c>
      <c r="C46" s="3" t="s">
        <v>10</v>
      </c>
      <c r="D46" s="3">
        <v>25300.0</v>
      </c>
      <c r="E46" s="3">
        <f>SUMIFS('Transaction data'!$C$2:$C$645,'Transaction data'!$B$2:$B$645,$A46,'Transaction data'!$Q$2:$Q$645,$B46,'Transaction data'!$O$2:$O$645,$C46)</f>
        <v>57500</v>
      </c>
      <c r="F46" s="3">
        <f t="shared" si="1"/>
        <v>-32200</v>
      </c>
    </row>
    <row r="47">
      <c r="A47" s="3" t="s">
        <v>19</v>
      </c>
      <c r="B47" s="3" t="s">
        <v>14</v>
      </c>
      <c r="C47" s="3" t="s">
        <v>11</v>
      </c>
      <c r="D47" s="3">
        <v>26000.0</v>
      </c>
      <c r="E47" s="3">
        <f>SUMIFS('Transaction data'!$C$2:$C$645,'Transaction data'!$B$2:$B$645,$A47,'Transaction data'!$Q$2:$Q$645,$B47,'Transaction data'!$O$2:$O$645,$C47)</f>
        <v>75400</v>
      </c>
      <c r="F47" s="3">
        <f t="shared" si="1"/>
        <v>-49400</v>
      </c>
    </row>
    <row r="48">
      <c r="A48" s="3" t="s">
        <v>19</v>
      </c>
      <c r="B48" s="3" t="s">
        <v>14</v>
      </c>
      <c r="C48" s="3" t="s">
        <v>12</v>
      </c>
      <c r="D48" s="3">
        <v>88100.0</v>
      </c>
      <c r="E48" s="3">
        <f>SUMIFS('Transaction data'!$C$2:$C$645,'Transaction data'!$B$2:$B$645,$A48,'Transaction data'!$Q$2:$Q$645,$B48,'Transaction data'!$O$2:$O$645,$C48)</f>
        <v>51400</v>
      </c>
      <c r="F48" s="3">
        <f t="shared" si="1"/>
        <v>36700</v>
      </c>
    </row>
    <row r="49">
      <c r="A49" s="3" t="s">
        <v>19</v>
      </c>
      <c r="B49" s="3" t="s">
        <v>14</v>
      </c>
      <c r="C49" s="3" t="s">
        <v>13</v>
      </c>
      <c r="D49" s="3">
        <v>95800.0</v>
      </c>
      <c r="E49" s="3">
        <f>SUMIFS('Transaction data'!$C$2:$C$645,'Transaction data'!$B$2:$B$645,$A49,'Transaction data'!$Q$2:$Q$645,$B49,'Transaction data'!$O$2:$O$645,$C49)</f>
        <v>32300</v>
      </c>
      <c r="F49" s="3">
        <f t="shared" si="1"/>
        <v>63500</v>
      </c>
    </row>
    <row r="50">
      <c r="A50" s="3" t="s">
        <v>19</v>
      </c>
      <c r="B50" s="3" t="s">
        <v>15</v>
      </c>
      <c r="C50" s="3" t="s">
        <v>8</v>
      </c>
      <c r="D50" s="3">
        <v>78200.0</v>
      </c>
      <c r="E50" s="3">
        <f>SUMIFS('Transaction data'!$C$2:$C$645,'Transaction data'!$B$2:$B$645,$A50,'Transaction data'!$Q$2:$Q$645,$B50,'Transaction data'!$O$2:$O$645,$C50)</f>
        <v>97600</v>
      </c>
      <c r="F50" s="3">
        <f t="shared" si="1"/>
        <v>-19400</v>
      </c>
    </row>
    <row r="51">
      <c r="A51" s="3" t="s">
        <v>19</v>
      </c>
      <c r="B51" s="3" t="s">
        <v>15</v>
      </c>
      <c r="C51" s="3" t="s">
        <v>9</v>
      </c>
      <c r="D51" s="3">
        <v>57300.0</v>
      </c>
      <c r="E51" s="3">
        <f>SUMIFS('Transaction data'!$C$2:$C$645,'Transaction data'!$B$2:$B$645,$A51,'Transaction data'!$Q$2:$Q$645,$B51,'Transaction data'!$O$2:$O$645,$C51)</f>
        <v>58500</v>
      </c>
      <c r="F51" s="3">
        <f t="shared" si="1"/>
        <v>-1200</v>
      </c>
    </row>
    <row r="52">
      <c r="A52" s="3" t="s">
        <v>19</v>
      </c>
      <c r="B52" s="3" t="s">
        <v>15</v>
      </c>
      <c r="C52" s="3" t="s">
        <v>10</v>
      </c>
      <c r="D52" s="4">
        <v>2240000.0</v>
      </c>
      <c r="E52" s="3">
        <f>SUMIFS('Transaction data'!$C$2:$C$645,'Transaction data'!$B$2:$B$645,$A52,'Transaction data'!$Q$2:$Q$645,$B52,'Transaction data'!$O$2:$O$645,$C52)</f>
        <v>2248500</v>
      </c>
      <c r="F52" s="3">
        <f t="shared" si="1"/>
        <v>-8500</v>
      </c>
    </row>
    <row r="53">
      <c r="A53" s="3" t="s">
        <v>19</v>
      </c>
      <c r="B53" s="3" t="s">
        <v>15</v>
      </c>
      <c r="C53" s="3" t="s">
        <v>11</v>
      </c>
      <c r="D53" s="3">
        <v>64600.0</v>
      </c>
      <c r="E53" s="3">
        <f>SUMIFS('Transaction data'!$C$2:$C$645,'Transaction data'!$B$2:$B$645,$A53,'Transaction data'!$Q$2:$Q$645,$B53,'Transaction data'!$O$2:$O$645,$C53)</f>
        <v>40200</v>
      </c>
      <c r="F53" s="3">
        <f t="shared" si="1"/>
        <v>24400</v>
      </c>
    </row>
    <row r="54">
      <c r="A54" s="3" t="s">
        <v>19</v>
      </c>
      <c r="B54" s="3" t="s">
        <v>15</v>
      </c>
      <c r="C54" s="3" t="s">
        <v>12</v>
      </c>
      <c r="D54" s="3">
        <v>42400.0</v>
      </c>
      <c r="E54" s="3">
        <f>SUMIFS('Transaction data'!$C$2:$C$645,'Transaction data'!$B$2:$B$645,$A54,'Transaction data'!$Q$2:$Q$645,$B54,'Transaction data'!$O$2:$O$645,$C54)</f>
        <v>79700</v>
      </c>
      <c r="F54" s="3">
        <f t="shared" si="1"/>
        <v>-37300</v>
      </c>
    </row>
    <row r="55">
      <c r="A55" s="3" t="s">
        <v>19</v>
      </c>
      <c r="B55" s="3" t="s">
        <v>15</v>
      </c>
      <c r="C55" s="3" t="s">
        <v>13</v>
      </c>
      <c r="D55" s="3">
        <v>22900.0</v>
      </c>
      <c r="E55" s="3">
        <f>SUMIFS('Transaction data'!$C$2:$C$645,'Transaction data'!$B$2:$B$645,$A55,'Transaction data'!$Q$2:$Q$645,$B55,'Transaction data'!$O$2:$O$645,$C55)</f>
        <v>44700</v>
      </c>
      <c r="F55" s="3">
        <f t="shared" si="1"/>
        <v>-21800</v>
      </c>
    </row>
    <row r="56">
      <c r="A56" s="3" t="s">
        <v>19</v>
      </c>
      <c r="B56" s="3" t="s">
        <v>16</v>
      </c>
      <c r="C56" s="3" t="s">
        <v>8</v>
      </c>
      <c r="D56" s="3">
        <v>59300.0</v>
      </c>
      <c r="E56" s="3">
        <f>SUMIFS('Transaction data'!$C$2:$C$645,'Transaction data'!$B$2:$B$645,$A56,'Transaction data'!$Q$2:$Q$645,$B56,'Transaction data'!$O$2:$O$645,$C56)</f>
        <v>46600</v>
      </c>
      <c r="F56" s="3">
        <f t="shared" si="1"/>
        <v>12700</v>
      </c>
    </row>
    <row r="57">
      <c r="A57" s="3" t="s">
        <v>19</v>
      </c>
      <c r="B57" s="3" t="s">
        <v>16</v>
      </c>
      <c r="C57" s="3" t="s">
        <v>9</v>
      </c>
      <c r="D57" s="3">
        <v>17800.0</v>
      </c>
      <c r="E57" s="3">
        <f>SUMIFS('Transaction data'!$C$2:$C$645,'Transaction data'!$B$2:$B$645,$A57,'Transaction data'!$Q$2:$Q$645,$B57,'Transaction data'!$O$2:$O$645,$C57)</f>
        <v>95400</v>
      </c>
      <c r="F57" s="3">
        <f t="shared" si="1"/>
        <v>-77600</v>
      </c>
    </row>
    <row r="58">
      <c r="A58" s="3" t="s">
        <v>19</v>
      </c>
      <c r="B58" s="3" t="s">
        <v>16</v>
      </c>
      <c r="C58" s="3" t="s">
        <v>10</v>
      </c>
      <c r="D58" s="3">
        <v>18100.0</v>
      </c>
      <c r="E58" s="3">
        <f>SUMIFS('Transaction data'!$C$2:$C$645,'Transaction data'!$B$2:$B$645,$A58,'Transaction data'!$Q$2:$Q$645,$B58,'Transaction data'!$O$2:$O$645,$C58)</f>
        <v>23500</v>
      </c>
      <c r="F58" s="3">
        <f t="shared" si="1"/>
        <v>-5400</v>
      </c>
    </row>
    <row r="59">
      <c r="A59" s="3" t="s">
        <v>19</v>
      </c>
      <c r="B59" s="3" t="s">
        <v>16</v>
      </c>
      <c r="C59" s="3" t="s">
        <v>11</v>
      </c>
      <c r="D59" s="4">
        <v>1720500.0</v>
      </c>
      <c r="E59" s="3">
        <f>SUMIFS('Transaction data'!$C$2:$C$645,'Transaction data'!$B$2:$B$645,$A59,'Transaction data'!$Q$2:$Q$645,$B59,'Transaction data'!$O$2:$O$645,$C59)</f>
        <v>1720600</v>
      </c>
      <c r="F59" s="3">
        <f t="shared" si="1"/>
        <v>-100</v>
      </c>
    </row>
    <row r="60">
      <c r="A60" s="3" t="s">
        <v>19</v>
      </c>
      <c r="B60" s="3" t="s">
        <v>16</v>
      </c>
      <c r="C60" s="3" t="s">
        <v>12</v>
      </c>
      <c r="D60" s="3">
        <v>82800.0</v>
      </c>
      <c r="E60" s="3">
        <f>SUMIFS('Transaction data'!$C$2:$C$645,'Transaction data'!$B$2:$B$645,$A60,'Transaction data'!$Q$2:$Q$645,$B60,'Transaction data'!$O$2:$O$645,$C60)</f>
        <v>31300</v>
      </c>
      <c r="F60" s="3">
        <f t="shared" si="1"/>
        <v>51500</v>
      </c>
    </row>
    <row r="61">
      <c r="A61" s="3" t="s">
        <v>19</v>
      </c>
      <c r="B61" s="3" t="s">
        <v>16</v>
      </c>
      <c r="C61" s="3" t="s">
        <v>13</v>
      </c>
      <c r="D61" s="3">
        <v>68900.0</v>
      </c>
      <c r="E61" s="3">
        <f>SUMIFS('Transaction data'!$C$2:$C$645,'Transaction data'!$B$2:$B$645,$A61,'Transaction data'!$Q$2:$Q$645,$B61,'Transaction data'!$O$2:$O$645,$C61)</f>
        <v>35200</v>
      </c>
      <c r="F61" s="3">
        <f t="shared" si="1"/>
        <v>33700</v>
      </c>
    </row>
    <row r="62">
      <c r="A62" s="3" t="s">
        <v>19</v>
      </c>
      <c r="B62" s="3" t="s">
        <v>17</v>
      </c>
      <c r="C62" s="3" t="s">
        <v>8</v>
      </c>
      <c r="D62" s="3">
        <v>73300.0</v>
      </c>
      <c r="E62" s="3">
        <f>SUMIFS('Transaction data'!$C$2:$C$645,'Transaction data'!$B$2:$B$645,$A62,'Transaction data'!$Q$2:$Q$645,$B62,'Transaction data'!$O$2:$O$645,$C62)</f>
        <v>96500</v>
      </c>
      <c r="F62" s="3">
        <f t="shared" si="1"/>
        <v>-23200</v>
      </c>
    </row>
    <row r="63">
      <c r="A63" s="3" t="s">
        <v>19</v>
      </c>
      <c r="B63" s="3" t="s">
        <v>17</v>
      </c>
      <c r="C63" s="3" t="s">
        <v>9</v>
      </c>
      <c r="D63" s="3">
        <v>89300.0</v>
      </c>
      <c r="E63" s="3">
        <f>SUMIFS('Transaction data'!$C$2:$C$645,'Transaction data'!$B$2:$B$645,$A63,'Transaction data'!$Q$2:$Q$645,$B63,'Transaction data'!$O$2:$O$645,$C63)</f>
        <v>44800</v>
      </c>
      <c r="F63" s="3">
        <f t="shared" si="1"/>
        <v>44500</v>
      </c>
    </row>
    <row r="64">
      <c r="A64" s="3" t="s">
        <v>19</v>
      </c>
      <c r="B64" s="3" t="s">
        <v>17</v>
      </c>
      <c r="C64" s="3" t="s">
        <v>10</v>
      </c>
      <c r="D64" s="3">
        <v>99500.0</v>
      </c>
      <c r="E64" s="3">
        <f>SUMIFS('Transaction data'!$C$2:$C$645,'Transaction data'!$B$2:$B$645,$A64,'Transaction data'!$Q$2:$Q$645,$B64,'Transaction data'!$O$2:$O$645,$C64)</f>
        <v>19600</v>
      </c>
      <c r="F64" s="3">
        <f t="shared" si="1"/>
        <v>79900</v>
      </c>
    </row>
    <row r="65">
      <c r="A65" s="3" t="s">
        <v>19</v>
      </c>
      <c r="B65" s="3" t="s">
        <v>17</v>
      </c>
      <c r="C65" s="3" t="s">
        <v>11</v>
      </c>
      <c r="D65" s="3">
        <v>71500.0</v>
      </c>
      <c r="E65" s="3">
        <f>SUMIFS('Transaction data'!$C$2:$C$645,'Transaction data'!$B$2:$B$645,$A65,'Transaction data'!$Q$2:$Q$645,$B65,'Transaction data'!$O$2:$O$645,$C65)</f>
        <v>96000</v>
      </c>
      <c r="F65" s="3">
        <f t="shared" si="1"/>
        <v>-24500</v>
      </c>
    </row>
    <row r="66">
      <c r="A66" s="3" t="s">
        <v>19</v>
      </c>
      <c r="B66" s="3" t="s">
        <v>17</v>
      </c>
      <c r="C66" s="3" t="s">
        <v>12</v>
      </c>
      <c r="D66" s="4">
        <v>1200100.0</v>
      </c>
      <c r="E66" s="3">
        <f>SUMIFS('Transaction data'!$C$2:$C$645,'Transaction data'!$B$2:$B$645,$A66,'Transaction data'!$Q$2:$Q$645,$B66,'Transaction data'!$O$2:$O$645,$C66)</f>
        <v>1199100</v>
      </c>
      <c r="F66" s="3">
        <f t="shared" si="1"/>
        <v>1000</v>
      </c>
    </row>
    <row r="67">
      <c r="A67" s="3" t="s">
        <v>19</v>
      </c>
      <c r="B67" s="3" t="s">
        <v>17</v>
      </c>
      <c r="C67" s="3" t="s">
        <v>13</v>
      </c>
      <c r="D67" s="3">
        <v>90500.0</v>
      </c>
      <c r="E67" s="3">
        <f>SUMIFS('Transaction data'!$C$2:$C$645,'Transaction data'!$B$2:$B$645,$A67,'Transaction data'!$Q$2:$Q$645,$B67,'Transaction data'!$O$2:$O$645,$C67)</f>
        <v>52200</v>
      </c>
      <c r="F67" s="3">
        <f t="shared" si="1"/>
        <v>38300</v>
      </c>
    </row>
    <row r="68">
      <c r="A68" s="3" t="s">
        <v>19</v>
      </c>
      <c r="B68" s="3" t="s">
        <v>18</v>
      </c>
      <c r="C68" s="3" t="s">
        <v>8</v>
      </c>
      <c r="D68" s="3">
        <v>91300.0</v>
      </c>
      <c r="E68" s="3">
        <f>SUMIFS('Transaction data'!$C$2:$C$645,'Transaction data'!$B$2:$B$645,$A68,'Transaction data'!$Q$2:$Q$645,$B68,'Transaction data'!$O$2:$O$645,$C68)</f>
        <v>93400</v>
      </c>
      <c r="F68" s="3">
        <f t="shared" si="1"/>
        <v>-2100</v>
      </c>
    </row>
    <row r="69">
      <c r="A69" s="3" t="s">
        <v>19</v>
      </c>
      <c r="B69" s="3" t="s">
        <v>18</v>
      </c>
      <c r="C69" s="3" t="s">
        <v>9</v>
      </c>
      <c r="D69" s="3">
        <v>44200.0</v>
      </c>
      <c r="E69" s="3">
        <f>SUMIFS('Transaction data'!$C$2:$C$645,'Transaction data'!$B$2:$B$645,$A69,'Transaction data'!$Q$2:$Q$645,$B69,'Transaction data'!$O$2:$O$645,$C69)</f>
        <v>71200</v>
      </c>
      <c r="F69" s="3">
        <f t="shared" si="1"/>
        <v>-27000</v>
      </c>
    </row>
    <row r="70">
      <c r="A70" s="3" t="s">
        <v>19</v>
      </c>
      <c r="B70" s="3" t="s">
        <v>18</v>
      </c>
      <c r="C70" s="3" t="s">
        <v>10</v>
      </c>
      <c r="D70" s="3">
        <v>35100.0</v>
      </c>
      <c r="E70" s="3">
        <f>SUMIFS('Transaction data'!$C$2:$C$645,'Transaction data'!$B$2:$B$645,$A70,'Transaction data'!$Q$2:$Q$645,$B70,'Transaction data'!$O$2:$O$645,$C70)</f>
        <v>31800</v>
      </c>
      <c r="F70" s="3">
        <f t="shared" si="1"/>
        <v>3300</v>
      </c>
    </row>
    <row r="71">
      <c r="A71" s="3" t="s">
        <v>19</v>
      </c>
      <c r="B71" s="3" t="s">
        <v>18</v>
      </c>
      <c r="C71" s="3" t="s">
        <v>11</v>
      </c>
      <c r="D71" s="3">
        <v>76200.0</v>
      </c>
      <c r="E71" s="3">
        <f>SUMIFS('Transaction data'!$C$2:$C$645,'Transaction data'!$B$2:$B$645,$A71,'Transaction data'!$Q$2:$Q$645,$B71,'Transaction data'!$O$2:$O$645,$C71)</f>
        <v>67700</v>
      </c>
      <c r="F71" s="3">
        <f t="shared" si="1"/>
        <v>8500</v>
      </c>
    </row>
    <row r="72">
      <c r="A72" s="3" t="s">
        <v>19</v>
      </c>
      <c r="B72" s="3" t="s">
        <v>18</v>
      </c>
      <c r="C72" s="3" t="s">
        <v>12</v>
      </c>
      <c r="D72" s="3">
        <v>12300.0</v>
      </c>
      <c r="E72" s="3">
        <f>SUMIFS('Transaction data'!$C$2:$C$645,'Transaction data'!$B$2:$B$645,$A72,'Transaction data'!$Q$2:$Q$645,$B72,'Transaction data'!$O$2:$O$645,$C72)</f>
        <v>22400</v>
      </c>
      <c r="F72" s="3">
        <f t="shared" si="1"/>
        <v>-10100</v>
      </c>
    </row>
    <row r="73">
      <c r="A73" s="3" t="s">
        <v>19</v>
      </c>
      <c r="B73" s="3" t="s">
        <v>18</v>
      </c>
      <c r="C73" s="3" t="s">
        <v>13</v>
      </c>
      <c r="D73" s="4">
        <v>1208000.0</v>
      </c>
      <c r="E73" s="3">
        <f>SUMIFS('Transaction data'!$C$2:$C$645,'Transaction data'!$B$2:$B$645,$A73,'Transaction data'!$Q$2:$Q$645,$B73,'Transaction data'!$O$2:$O$645,$C73)</f>
        <v>1127200</v>
      </c>
      <c r="F73" s="3">
        <f t="shared" si="1"/>
        <v>80800</v>
      </c>
    </row>
    <row r="74">
      <c r="A74" s="3" t="s">
        <v>20</v>
      </c>
      <c r="B74" s="3" t="s">
        <v>7</v>
      </c>
      <c r="C74" s="3" t="s">
        <v>8</v>
      </c>
      <c r="D74" s="4">
        <v>1808100.0</v>
      </c>
      <c r="E74" s="3">
        <f>SUMIFS('Transaction data'!$C$2:$C$645,'Transaction data'!$B$2:$B$645,$A74,'Transaction data'!$Q$2:$Q$645,$B74,'Transaction data'!$O$2:$O$645,$C74)</f>
        <v>1937100</v>
      </c>
      <c r="F74" s="3">
        <f t="shared" si="1"/>
        <v>-129000</v>
      </c>
    </row>
    <row r="75">
      <c r="A75" s="3" t="s">
        <v>20</v>
      </c>
      <c r="B75" s="3" t="s">
        <v>7</v>
      </c>
      <c r="C75" s="3" t="s">
        <v>9</v>
      </c>
      <c r="D75" s="3">
        <v>61100.0</v>
      </c>
      <c r="E75" s="3">
        <f>SUMIFS('Transaction data'!$C$2:$C$645,'Transaction data'!$B$2:$B$645,$A75,'Transaction data'!$Q$2:$Q$645,$B75,'Transaction data'!$O$2:$O$645,$C75)</f>
        <v>80100</v>
      </c>
      <c r="F75" s="3">
        <f t="shared" si="1"/>
        <v>-19000</v>
      </c>
    </row>
    <row r="76">
      <c r="A76" s="3" t="s">
        <v>20</v>
      </c>
      <c r="B76" s="3" t="s">
        <v>7</v>
      </c>
      <c r="C76" s="3" t="s">
        <v>10</v>
      </c>
      <c r="D76" s="3">
        <v>82100.0</v>
      </c>
      <c r="E76" s="3">
        <f>SUMIFS('Transaction data'!$C$2:$C$645,'Transaction data'!$B$2:$B$645,$A76,'Transaction data'!$Q$2:$Q$645,$B76,'Transaction data'!$O$2:$O$645,$C76)</f>
        <v>96400</v>
      </c>
      <c r="F76" s="3">
        <f t="shared" si="1"/>
        <v>-14300</v>
      </c>
    </row>
    <row r="77">
      <c r="A77" s="3" t="s">
        <v>20</v>
      </c>
      <c r="B77" s="3" t="s">
        <v>7</v>
      </c>
      <c r="C77" s="3" t="s">
        <v>11</v>
      </c>
      <c r="D77" s="3">
        <v>37300.0</v>
      </c>
      <c r="E77" s="3">
        <f>SUMIFS('Transaction data'!$C$2:$C$645,'Transaction data'!$B$2:$B$645,$A77,'Transaction data'!$Q$2:$Q$645,$B77,'Transaction data'!$O$2:$O$645,$C77)</f>
        <v>10000</v>
      </c>
      <c r="F77" s="3">
        <f t="shared" si="1"/>
        <v>27300</v>
      </c>
    </row>
    <row r="78">
      <c r="A78" s="3" t="s">
        <v>20</v>
      </c>
      <c r="B78" s="3" t="s">
        <v>7</v>
      </c>
      <c r="C78" s="3" t="s">
        <v>12</v>
      </c>
      <c r="D78" s="3">
        <v>90900.0</v>
      </c>
      <c r="E78" s="3">
        <f>SUMIFS('Transaction data'!$C$2:$C$645,'Transaction data'!$B$2:$B$645,$A78,'Transaction data'!$Q$2:$Q$645,$B78,'Transaction data'!$O$2:$O$645,$C78)</f>
        <v>44500</v>
      </c>
      <c r="F78" s="3">
        <f t="shared" si="1"/>
        <v>46400</v>
      </c>
    </row>
    <row r="79">
      <c r="A79" s="3" t="s">
        <v>20</v>
      </c>
      <c r="B79" s="3" t="s">
        <v>7</v>
      </c>
      <c r="C79" s="3" t="s">
        <v>13</v>
      </c>
      <c r="D79" s="3">
        <v>17600.0</v>
      </c>
      <c r="E79" s="3">
        <f>SUMIFS('Transaction data'!$C$2:$C$645,'Transaction data'!$B$2:$B$645,$A79,'Transaction data'!$Q$2:$Q$645,$B79,'Transaction data'!$O$2:$O$645,$C79)</f>
        <v>34100</v>
      </c>
      <c r="F79" s="3">
        <f t="shared" si="1"/>
        <v>-16500</v>
      </c>
    </row>
    <row r="80">
      <c r="A80" s="3" t="s">
        <v>20</v>
      </c>
      <c r="B80" s="3" t="s">
        <v>14</v>
      </c>
      <c r="C80" s="3" t="s">
        <v>8</v>
      </c>
      <c r="D80" s="3">
        <v>59500.0</v>
      </c>
      <c r="E80" s="3">
        <f>SUMIFS('Transaction data'!$C$2:$C$645,'Transaction data'!$B$2:$B$645,$A80,'Transaction data'!$Q$2:$Q$645,$B80,'Transaction data'!$O$2:$O$645,$C80)</f>
        <v>26800</v>
      </c>
      <c r="F80" s="3">
        <f t="shared" si="1"/>
        <v>32700</v>
      </c>
    </row>
    <row r="81">
      <c r="A81" s="3" t="s">
        <v>20</v>
      </c>
      <c r="B81" s="3" t="s">
        <v>14</v>
      </c>
      <c r="C81" s="3" t="s">
        <v>9</v>
      </c>
      <c r="D81" s="4">
        <v>2100000.0</v>
      </c>
      <c r="E81" s="3">
        <f>SUMIFS('Transaction data'!$C$2:$C$645,'Transaction data'!$B$2:$B$645,$A81,'Transaction data'!$Q$2:$Q$645,$B81,'Transaction data'!$O$2:$O$645,$C81)</f>
        <v>2099000</v>
      </c>
      <c r="F81" s="3">
        <f t="shared" si="1"/>
        <v>1000</v>
      </c>
    </row>
    <row r="82">
      <c r="A82" s="3" t="s">
        <v>20</v>
      </c>
      <c r="B82" s="3" t="s">
        <v>14</v>
      </c>
      <c r="C82" s="3" t="s">
        <v>10</v>
      </c>
      <c r="D82" s="3">
        <v>38200.0</v>
      </c>
      <c r="E82" s="3">
        <f>SUMIFS('Transaction data'!$C$2:$C$645,'Transaction data'!$B$2:$B$645,$A82,'Transaction data'!$Q$2:$Q$645,$B82,'Transaction data'!$O$2:$O$645,$C82)</f>
        <v>37600</v>
      </c>
      <c r="F82" s="3">
        <f t="shared" si="1"/>
        <v>600</v>
      </c>
    </row>
    <row r="83">
      <c r="A83" s="3" t="s">
        <v>20</v>
      </c>
      <c r="B83" s="3" t="s">
        <v>14</v>
      </c>
      <c r="C83" s="3" t="s">
        <v>11</v>
      </c>
      <c r="D83" s="3">
        <v>38200.0</v>
      </c>
      <c r="E83" s="3">
        <f>SUMIFS('Transaction data'!$C$2:$C$645,'Transaction data'!$B$2:$B$645,$A83,'Transaction data'!$Q$2:$Q$645,$B83,'Transaction data'!$O$2:$O$645,$C83)</f>
        <v>20700</v>
      </c>
      <c r="F83" s="3">
        <f t="shared" si="1"/>
        <v>17500</v>
      </c>
    </row>
    <row r="84">
      <c r="A84" s="3" t="s">
        <v>20</v>
      </c>
      <c r="B84" s="3" t="s">
        <v>14</v>
      </c>
      <c r="C84" s="3" t="s">
        <v>12</v>
      </c>
      <c r="D84" s="3">
        <v>61700.0</v>
      </c>
      <c r="E84" s="3">
        <f>SUMIFS('Transaction data'!$C$2:$C$645,'Transaction data'!$B$2:$B$645,$A84,'Transaction data'!$Q$2:$Q$645,$B84,'Transaction data'!$O$2:$O$645,$C84)</f>
        <v>71900</v>
      </c>
      <c r="F84" s="3">
        <f t="shared" si="1"/>
        <v>-10200</v>
      </c>
    </row>
    <row r="85">
      <c r="A85" s="3" t="s">
        <v>20</v>
      </c>
      <c r="B85" s="3" t="s">
        <v>14</v>
      </c>
      <c r="C85" s="3" t="s">
        <v>13</v>
      </c>
      <c r="D85" s="3">
        <v>26800.0</v>
      </c>
      <c r="E85" s="3">
        <f>SUMIFS('Transaction data'!$C$2:$C$645,'Transaction data'!$B$2:$B$645,$A85,'Transaction data'!$Q$2:$Q$645,$B85,'Transaction data'!$O$2:$O$645,$C85)</f>
        <v>48500</v>
      </c>
      <c r="F85" s="3">
        <f t="shared" si="1"/>
        <v>-21700</v>
      </c>
    </row>
    <row r="86">
      <c r="A86" s="3" t="s">
        <v>20</v>
      </c>
      <c r="B86" s="3" t="s">
        <v>15</v>
      </c>
      <c r="C86" s="3" t="s">
        <v>8</v>
      </c>
      <c r="D86" s="3">
        <v>78300.0</v>
      </c>
      <c r="E86" s="3">
        <f>SUMIFS('Transaction data'!$C$2:$C$645,'Transaction data'!$B$2:$B$645,$A86,'Transaction data'!$Q$2:$Q$645,$B86,'Transaction data'!$O$2:$O$645,$C86)</f>
        <v>13900</v>
      </c>
      <c r="F86" s="3">
        <f t="shared" si="1"/>
        <v>64400</v>
      </c>
    </row>
    <row r="87">
      <c r="A87" s="3" t="s">
        <v>20</v>
      </c>
      <c r="B87" s="3" t="s">
        <v>15</v>
      </c>
      <c r="C87" s="3" t="s">
        <v>9</v>
      </c>
      <c r="D87" s="3">
        <v>49600.0</v>
      </c>
      <c r="E87" s="3">
        <f>SUMIFS('Transaction data'!$C$2:$C$645,'Transaction data'!$B$2:$B$645,$A87,'Transaction data'!$Q$2:$Q$645,$B87,'Transaction data'!$O$2:$O$645,$C87)</f>
        <v>42800</v>
      </c>
      <c r="F87" s="3">
        <f t="shared" si="1"/>
        <v>6800</v>
      </c>
    </row>
    <row r="88">
      <c r="A88" s="3" t="s">
        <v>20</v>
      </c>
      <c r="B88" s="3" t="s">
        <v>15</v>
      </c>
      <c r="C88" s="3" t="s">
        <v>10</v>
      </c>
      <c r="D88" s="4">
        <v>2220000.0</v>
      </c>
      <c r="E88" s="3">
        <f>SUMIFS('Transaction data'!$C$2:$C$645,'Transaction data'!$B$2:$B$645,$A88,'Transaction data'!$Q$2:$Q$645,$B88,'Transaction data'!$O$2:$O$645,$C88)</f>
        <v>2230000</v>
      </c>
      <c r="F88" s="3">
        <f t="shared" si="1"/>
        <v>-10000</v>
      </c>
    </row>
    <row r="89">
      <c r="A89" s="3" t="s">
        <v>20</v>
      </c>
      <c r="B89" s="3" t="s">
        <v>15</v>
      </c>
      <c r="C89" s="3" t="s">
        <v>11</v>
      </c>
      <c r="D89" s="3">
        <v>12400.0</v>
      </c>
      <c r="E89" s="3">
        <f>SUMIFS('Transaction data'!$C$2:$C$645,'Transaction data'!$B$2:$B$645,$A89,'Transaction data'!$Q$2:$Q$645,$B89,'Transaction data'!$O$2:$O$645,$C89)</f>
        <v>48600</v>
      </c>
      <c r="F89" s="3">
        <f t="shared" si="1"/>
        <v>-36200</v>
      </c>
    </row>
    <row r="90">
      <c r="A90" s="3" t="s">
        <v>20</v>
      </c>
      <c r="B90" s="3" t="s">
        <v>15</v>
      </c>
      <c r="C90" s="3" t="s">
        <v>12</v>
      </c>
      <c r="D90" s="3">
        <v>40900.0</v>
      </c>
      <c r="E90" s="3">
        <f>SUMIFS('Transaction data'!$C$2:$C$645,'Transaction data'!$B$2:$B$645,$A90,'Transaction data'!$Q$2:$Q$645,$B90,'Transaction data'!$O$2:$O$645,$C90)</f>
        <v>47800</v>
      </c>
      <c r="F90" s="3">
        <f t="shared" si="1"/>
        <v>-6900</v>
      </c>
    </row>
    <row r="91">
      <c r="A91" s="3" t="s">
        <v>20</v>
      </c>
      <c r="B91" s="3" t="s">
        <v>15</v>
      </c>
      <c r="C91" s="3" t="s">
        <v>13</v>
      </c>
      <c r="D91" s="3">
        <v>48600.0</v>
      </c>
      <c r="E91" s="3">
        <f>SUMIFS('Transaction data'!$C$2:$C$645,'Transaction data'!$B$2:$B$645,$A91,'Transaction data'!$Q$2:$Q$645,$B91,'Transaction data'!$O$2:$O$645,$C91)</f>
        <v>98500</v>
      </c>
      <c r="F91" s="3">
        <f t="shared" si="1"/>
        <v>-49900</v>
      </c>
    </row>
    <row r="92">
      <c r="A92" s="3" t="s">
        <v>20</v>
      </c>
      <c r="B92" s="3" t="s">
        <v>16</v>
      </c>
      <c r="C92" s="3" t="s">
        <v>8</v>
      </c>
      <c r="D92" s="3">
        <v>66700.0</v>
      </c>
      <c r="E92" s="3">
        <f>SUMIFS('Transaction data'!$C$2:$C$645,'Transaction data'!$B$2:$B$645,$A92,'Transaction data'!$Q$2:$Q$645,$B92,'Transaction data'!$O$2:$O$645,$C92)</f>
        <v>48200</v>
      </c>
      <c r="F92" s="3">
        <f t="shared" si="1"/>
        <v>18500</v>
      </c>
    </row>
    <row r="93">
      <c r="A93" s="3" t="s">
        <v>20</v>
      </c>
      <c r="B93" s="3" t="s">
        <v>16</v>
      </c>
      <c r="C93" s="3" t="s">
        <v>9</v>
      </c>
      <c r="D93" s="3">
        <v>97800.0</v>
      </c>
      <c r="E93" s="3">
        <f>SUMIFS('Transaction data'!$C$2:$C$645,'Transaction data'!$B$2:$B$645,$A93,'Transaction data'!$Q$2:$Q$645,$B93,'Transaction data'!$O$2:$O$645,$C93)</f>
        <v>94300</v>
      </c>
      <c r="F93" s="3">
        <f t="shared" si="1"/>
        <v>3500</v>
      </c>
    </row>
    <row r="94">
      <c r="A94" s="3" t="s">
        <v>20</v>
      </c>
      <c r="B94" s="3" t="s">
        <v>16</v>
      </c>
      <c r="C94" s="3" t="s">
        <v>10</v>
      </c>
      <c r="D94" s="3">
        <v>52400.0</v>
      </c>
      <c r="E94" s="3">
        <f>SUMIFS('Transaction data'!$C$2:$C$645,'Transaction data'!$B$2:$B$645,$A94,'Transaction data'!$Q$2:$Q$645,$B94,'Transaction data'!$O$2:$O$645,$C94)</f>
        <v>69600</v>
      </c>
      <c r="F94" s="3">
        <f t="shared" si="1"/>
        <v>-17200</v>
      </c>
    </row>
    <row r="95">
      <c r="A95" s="3" t="s">
        <v>20</v>
      </c>
      <c r="B95" s="3" t="s">
        <v>16</v>
      </c>
      <c r="C95" s="3" t="s">
        <v>11</v>
      </c>
      <c r="D95" s="4">
        <v>1847500.0</v>
      </c>
      <c r="E95" s="3">
        <f>SUMIFS('Transaction data'!$C$2:$C$645,'Transaction data'!$B$2:$B$645,$A95,'Transaction data'!$Q$2:$Q$645,$B95,'Transaction data'!$O$2:$O$645,$C95)</f>
        <v>1947500</v>
      </c>
      <c r="F95" s="3">
        <f t="shared" si="1"/>
        <v>-100000</v>
      </c>
    </row>
    <row r="96">
      <c r="A96" s="3" t="s">
        <v>20</v>
      </c>
      <c r="B96" s="3" t="s">
        <v>16</v>
      </c>
      <c r="C96" s="3" t="s">
        <v>12</v>
      </c>
      <c r="D96" s="3">
        <v>10300.0</v>
      </c>
      <c r="E96" s="3">
        <f>SUMIFS('Transaction data'!$C$2:$C$645,'Transaction data'!$B$2:$B$645,$A96,'Transaction data'!$Q$2:$Q$645,$B96,'Transaction data'!$O$2:$O$645,$C96)</f>
        <v>84800</v>
      </c>
      <c r="F96" s="3">
        <f t="shared" si="1"/>
        <v>-74500</v>
      </c>
    </row>
    <row r="97">
      <c r="A97" s="3" t="s">
        <v>20</v>
      </c>
      <c r="B97" s="3" t="s">
        <v>16</v>
      </c>
      <c r="C97" s="3" t="s">
        <v>13</v>
      </c>
      <c r="D97" s="3">
        <v>31100.0</v>
      </c>
      <c r="E97" s="3">
        <f>SUMIFS('Transaction data'!$C$2:$C$645,'Transaction data'!$B$2:$B$645,$A97,'Transaction data'!$Q$2:$Q$645,$B97,'Transaction data'!$O$2:$O$645,$C97)</f>
        <v>86300</v>
      </c>
      <c r="F97" s="3">
        <f t="shared" si="1"/>
        <v>-55200</v>
      </c>
    </row>
    <row r="98">
      <c r="A98" s="3" t="s">
        <v>20</v>
      </c>
      <c r="B98" s="3" t="s">
        <v>17</v>
      </c>
      <c r="C98" s="3" t="s">
        <v>8</v>
      </c>
      <c r="D98" s="3">
        <v>32100.0</v>
      </c>
      <c r="E98" s="3">
        <f>SUMIFS('Transaction data'!$C$2:$C$645,'Transaction data'!$B$2:$B$645,$A98,'Transaction data'!$Q$2:$Q$645,$B98,'Transaction data'!$O$2:$O$645,$C98)</f>
        <v>11900</v>
      </c>
      <c r="F98" s="3">
        <f t="shared" si="1"/>
        <v>20200</v>
      </c>
    </row>
    <row r="99">
      <c r="A99" s="3" t="s">
        <v>20</v>
      </c>
      <c r="B99" s="3" t="s">
        <v>17</v>
      </c>
      <c r="C99" s="3" t="s">
        <v>9</v>
      </c>
      <c r="D99" s="3">
        <v>90300.0</v>
      </c>
      <c r="E99" s="3">
        <f>SUMIFS('Transaction data'!$C$2:$C$645,'Transaction data'!$B$2:$B$645,$A99,'Transaction data'!$Q$2:$Q$645,$B99,'Transaction data'!$O$2:$O$645,$C99)</f>
        <v>93400</v>
      </c>
      <c r="F99" s="3">
        <f t="shared" si="1"/>
        <v>-3100</v>
      </c>
    </row>
    <row r="100">
      <c r="A100" s="3" t="s">
        <v>20</v>
      </c>
      <c r="B100" s="3" t="s">
        <v>17</v>
      </c>
      <c r="C100" s="3" t="s">
        <v>10</v>
      </c>
      <c r="D100" s="3">
        <v>87400.0</v>
      </c>
      <c r="E100" s="3">
        <f>SUMIFS('Transaction data'!$C$2:$C$645,'Transaction data'!$B$2:$B$645,$A100,'Transaction data'!$Q$2:$Q$645,$B100,'Transaction data'!$O$2:$O$645,$C100)</f>
        <v>21400</v>
      </c>
      <c r="F100" s="3">
        <f t="shared" si="1"/>
        <v>66000</v>
      </c>
    </row>
    <row r="101">
      <c r="A101" s="3" t="s">
        <v>20</v>
      </c>
      <c r="B101" s="3" t="s">
        <v>17</v>
      </c>
      <c r="C101" s="3" t="s">
        <v>11</v>
      </c>
      <c r="D101" s="3">
        <v>52700.0</v>
      </c>
      <c r="E101" s="3">
        <f>SUMIFS('Transaction data'!$C$2:$C$645,'Transaction data'!$B$2:$B$645,$A101,'Transaction data'!$Q$2:$Q$645,$B101,'Transaction data'!$O$2:$O$645,$C101)</f>
        <v>39900</v>
      </c>
      <c r="F101" s="3">
        <f t="shared" si="1"/>
        <v>12800</v>
      </c>
    </row>
    <row r="102">
      <c r="A102" s="3" t="s">
        <v>20</v>
      </c>
      <c r="B102" s="3" t="s">
        <v>17</v>
      </c>
      <c r="C102" s="3" t="s">
        <v>12</v>
      </c>
      <c r="D102" s="4">
        <v>1116600.0</v>
      </c>
      <c r="E102" s="3">
        <f>SUMIFS('Transaction data'!$C$2:$C$645,'Transaction data'!$B$2:$B$645,$A102,'Transaction data'!$Q$2:$Q$645,$B102,'Transaction data'!$O$2:$O$645,$C102)</f>
        <v>1107600</v>
      </c>
      <c r="F102" s="3">
        <f t="shared" si="1"/>
        <v>9000</v>
      </c>
    </row>
    <row r="103">
      <c r="A103" s="3" t="s">
        <v>20</v>
      </c>
      <c r="B103" s="3" t="s">
        <v>17</v>
      </c>
      <c r="C103" s="3" t="s">
        <v>13</v>
      </c>
      <c r="D103" s="3">
        <v>84300.0</v>
      </c>
      <c r="E103" s="3">
        <f>SUMIFS('Transaction data'!$C$2:$C$645,'Transaction data'!$B$2:$B$645,$A103,'Transaction data'!$Q$2:$Q$645,$B103,'Transaction data'!$O$2:$O$645,$C103)</f>
        <v>66100</v>
      </c>
      <c r="F103" s="3">
        <f t="shared" si="1"/>
        <v>18200</v>
      </c>
    </row>
    <row r="104">
      <c r="A104" s="3" t="s">
        <v>20</v>
      </c>
      <c r="B104" s="3" t="s">
        <v>18</v>
      </c>
      <c r="C104" s="3" t="s">
        <v>8</v>
      </c>
      <c r="D104" s="3">
        <v>96900.0</v>
      </c>
      <c r="E104" s="3">
        <f>SUMIFS('Transaction data'!$C$2:$C$645,'Transaction data'!$B$2:$B$645,$A104,'Transaction data'!$Q$2:$Q$645,$B104,'Transaction data'!$O$2:$O$645,$C104)</f>
        <v>81400</v>
      </c>
      <c r="F104" s="3">
        <f t="shared" si="1"/>
        <v>15500</v>
      </c>
    </row>
    <row r="105">
      <c r="A105" s="3" t="s">
        <v>20</v>
      </c>
      <c r="B105" s="3" t="s">
        <v>18</v>
      </c>
      <c r="C105" s="3" t="s">
        <v>9</v>
      </c>
      <c r="D105" s="3">
        <v>52800.0</v>
      </c>
      <c r="E105" s="3">
        <f>SUMIFS('Transaction data'!$C$2:$C$645,'Transaction data'!$B$2:$B$645,$A105,'Transaction data'!$Q$2:$Q$645,$B105,'Transaction data'!$O$2:$O$645,$C105)</f>
        <v>85400</v>
      </c>
      <c r="F105" s="3">
        <f t="shared" si="1"/>
        <v>-32600</v>
      </c>
    </row>
    <row r="106">
      <c r="A106" s="3" t="s">
        <v>20</v>
      </c>
      <c r="B106" s="3" t="s">
        <v>18</v>
      </c>
      <c r="C106" s="3" t="s">
        <v>10</v>
      </c>
      <c r="D106" s="3">
        <v>63100.0</v>
      </c>
      <c r="E106" s="3">
        <f>SUMIFS('Transaction data'!$C$2:$C$645,'Transaction data'!$B$2:$B$645,$A106,'Transaction data'!$Q$2:$Q$645,$B106,'Transaction data'!$O$2:$O$645,$C106)</f>
        <v>86000</v>
      </c>
      <c r="F106" s="3">
        <f t="shared" si="1"/>
        <v>-22900</v>
      </c>
    </row>
    <row r="107">
      <c r="A107" s="3" t="s">
        <v>20</v>
      </c>
      <c r="B107" s="3" t="s">
        <v>18</v>
      </c>
      <c r="C107" s="3" t="s">
        <v>11</v>
      </c>
      <c r="D107" s="3">
        <v>20500.0</v>
      </c>
      <c r="E107" s="3">
        <f>SUMIFS('Transaction data'!$C$2:$C$645,'Transaction data'!$B$2:$B$645,$A107,'Transaction data'!$Q$2:$Q$645,$B107,'Transaction data'!$O$2:$O$645,$C107)</f>
        <v>60000</v>
      </c>
      <c r="F107" s="3">
        <f t="shared" si="1"/>
        <v>-39500</v>
      </c>
    </row>
    <row r="108">
      <c r="A108" s="3" t="s">
        <v>20</v>
      </c>
      <c r="B108" s="3" t="s">
        <v>18</v>
      </c>
      <c r="C108" s="3" t="s">
        <v>12</v>
      </c>
      <c r="D108" s="3">
        <v>63700.0</v>
      </c>
      <c r="E108" s="3">
        <f>SUMIFS('Transaction data'!$C$2:$C$645,'Transaction data'!$B$2:$B$645,$A108,'Transaction data'!$Q$2:$Q$645,$B108,'Transaction data'!$O$2:$O$645,$C108)</f>
        <v>69800</v>
      </c>
      <c r="F108" s="3">
        <f t="shared" si="1"/>
        <v>-6100</v>
      </c>
    </row>
    <row r="109">
      <c r="A109" s="3" t="s">
        <v>20</v>
      </c>
      <c r="B109" s="3" t="s">
        <v>18</v>
      </c>
      <c r="C109" s="3" t="s">
        <v>13</v>
      </c>
      <c r="D109" s="4">
        <v>1020000.0</v>
      </c>
      <c r="E109" s="3">
        <f>SUMIFS('Transaction data'!$C$2:$C$645,'Transaction data'!$B$2:$B$645,$A109,'Transaction data'!$Q$2:$Q$645,$B109,'Transaction data'!$O$2:$O$645,$C109)</f>
        <v>1019000</v>
      </c>
      <c r="F109" s="3">
        <f t="shared" si="1"/>
        <v>1000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2" max="2" width="12.38"/>
    <col customWidth="1" min="3" max="3" width="10.88"/>
    <col customWidth="1" min="5" max="5" width="37.63"/>
    <col customWidth="1" min="16" max="17" width="16.25"/>
  </cols>
  <sheetData>
    <row r="1">
      <c r="A1" s="5" t="s">
        <v>21</v>
      </c>
      <c r="B1" s="2" t="s">
        <v>0</v>
      </c>
      <c r="C1" s="2" t="s">
        <v>22</v>
      </c>
      <c r="E1" s="4" t="s">
        <v>23</v>
      </c>
      <c r="F1" s="6" t="s">
        <v>24</v>
      </c>
      <c r="K1" s="4" t="s">
        <v>25</v>
      </c>
      <c r="L1" s="4" t="s">
        <v>2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27</v>
      </c>
      <c r="R1" s="4" t="s">
        <v>30</v>
      </c>
    </row>
    <row r="2">
      <c r="A2" s="7" t="s">
        <v>31</v>
      </c>
      <c r="B2" s="8" t="s">
        <v>6</v>
      </c>
      <c r="C2" s="8">
        <v>74100.0</v>
      </c>
      <c r="E2" s="3" t="str">
        <f>IFERROR(__xludf.DUMMYFUNCTION("SPLIT(A2,""|"")")," VfS/Facebook/20221015/Visitjaipur/5676 ")</f>
        <v> VfS/Facebook/20221015/Visitjaipur/5676 </v>
      </c>
      <c r="F2" s="3" t="str">
        <f>IFERROR(__xludf.DUMMYFUNCTION("SPLIT(E2,""/"")")," VfS")</f>
        <v> VfS</v>
      </c>
      <c r="G2" s="3" t="str">
        <f>IFERROR(__xludf.DUMMYFUNCTION("""COMPUTED_VALUE"""),"Facebook")</f>
        <v>Facebook</v>
      </c>
      <c r="H2" s="3">
        <f>IFERROR(__xludf.DUMMYFUNCTION("""COMPUTED_VALUE"""),2.0221015E7)</f>
        <v>20221015</v>
      </c>
      <c r="I2" s="3" t="str">
        <f>IFERROR(__xludf.DUMMYFUNCTION("""COMPUTED_VALUE"""),"Visitjaipur")</f>
        <v>Visitjaipur</v>
      </c>
      <c r="J2" s="9">
        <f>IFERROR(__xludf.DUMMYFUNCTION("""COMPUTED_VALUE"""),5676.0)</f>
        <v>5676</v>
      </c>
      <c r="K2" s="3" t="str">
        <f t="shared" ref="K2:L2" si="1">TRIM(F2)</f>
        <v>VfS</v>
      </c>
      <c r="L2" s="3" t="str">
        <f t="shared" si="1"/>
        <v>Facebook</v>
      </c>
      <c r="M2" s="3" t="str">
        <f t="shared" ref="M2:M645" si="3">PROPER(L2)</f>
        <v>Facebook</v>
      </c>
      <c r="N2" s="3" t="str">
        <f>IFERROR(__xludf.DUMMYFUNCTION("SPLIT(M2,""&amp;"")"),"Facebook")</f>
        <v>Facebook</v>
      </c>
      <c r="O2" s="3" t="str">
        <f t="shared" ref="O2:O645" si="4">TRIM(N2)</f>
        <v>Facebook</v>
      </c>
      <c r="P2" s="3" t="str">
        <f t="shared" ref="P2:P645" si="5">TRIM(I2)</f>
        <v>Visitjaipur</v>
      </c>
      <c r="Q2" s="3" t="str">
        <f t="shared" ref="Q2:Q645" si="6">Proper(P2)</f>
        <v>Visitjaipur</v>
      </c>
      <c r="R2" s="3">
        <f t="shared" ref="R2:R645" si="7">Value(J2)</f>
        <v>5676</v>
      </c>
    </row>
    <row r="3">
      <c r="A3" s="7" t="s">
        <v>32</v>
      </c>
      <c r="B3" s="8" t="s">
        <v>19</v>
      </c>
      <c r="C3" s="8">
        <v>99800.0</v>
      </c>
      <c r="E3" s="3" t="str">
        <f>IFERROR(__xludf.DUMMYFUNCTION("SPLIT(A3,""|"")")," VIN/YouTube/20221102/Visitrajasthan/4564 ")</f>
        <v> VIN/YouTube/20221102/Visitrajasthan/4564 </v>
      </c>
      <c r="F3" s="3" t="str">
        <f>IFERROR(__xludf.DUMMYFUNCTION("SPLIT(E3,""/"")")," VIN")</f>
        <v> VIN</v>
      </c>
      <c r="G3" s="3" t="str">
        <f>IFERROR(__xludf.DUMMYFUNCTION("""COMPUTED_VALUE"""),"YouTube")</f>
        <v>YouTube</v>
      </c>
      <c r="H3" s="3">
        <f>IFERROR(__xludf.DUMMYFUNCTION("""COMPUTED_VALUE"""),2.0221102E7)</f>
        <v>20221102</v>
      </c>
      <c r="I3" s="3" t="str">
        <f>IFERROR(__xludf.DUMMYFUNCTION("""COMPUTED_VALUE"""),"Visitrajasthan")</f>
        <v>Visitrajasthan</v>
      </c>
      <c r="J3" s="9">
        <f>IFERROR(__xludf.DUMMYFUNCTION("""COMPUTED_VALUE"""),4564.0)</f>
        <v>4564</v>
      </c>
      <c r="K3" s="3" t="str">
        <f t="shared" ref="K3:L3" si="2">TRIM(F3)</f>
        <v>VIN</v>
      </c>
      <c r="L3" s="3" t="str">
        <f t="shared" si="2"/>
        <v>YouTube</v>
      </c>
      <c r="M3" s="3" t="str">
        <f t="shared" si="3"/>
        <v>Youtube</v>
      </c>
      <c r="N3" s="3" t="str">
        <f>IFERROR(__xludf.DUMMYFUNCTION("SPLIT(M3,""&amp;"")"),"Youtube")</f>
        <v>Youtube</v>
      </c>
      <c r="O3" s="3" t="str">
        <f t="shared" si="4"/>
        <v>Youtube</v>
      </c>
      <c r="P3" s="3" t="str">
        <f t="shared" si="5"/>
        <v>Visitrajasthan</v>
      </c>
      <c r="Q3" s="3" t="str">
        <f t="shared" si="6"/>
        <v>Visitrajasthan</v>
      </c>
      <c r="R3" s="3">
        <f t="shared" si="7"/>
        <v>4564</v>
      </c>
    </row>
    <row r="4">
      <c r="A4" s="7" t="s">
        <v>33</v>
      </c>
      <c r="B4" s="8" t="s">
        <v>6</v>
      </c>
      <c r="C4" s="8">
        <v>76700.0</v>
      </c>
      <c r="E4" s="3" t="str">
        <f>IFERROR(__xludf.DUMMYFUNCTION("SPLIT(A4,""|"")")," NEFT/Instagram/20221010/visitudaipur/4565 ")</f>
        <v> NEFT/Instagram/20221010/visitudaipur/4565 </v>
      </c>
      <c r="F4" s="3" t="str">
        <f>IFERROR(__xludf.DUMMYFUNCTION("SPLIT(E4,""/"")")," NEFT")</f>
        <v> NEFT</v>
      </c>
      <c r="G4" s="3" t="str">
        <f>IFERROR(__xludf.DUMMYFUNCTION("""COMPUTED_VALUE"""),"Instagram")</f>
        <v>Instagram</v>
      </c>
      <c r="H4" s="3">
        <f>IFERROR(__xludf.DUMMYFUNCTION("""COMPUTED_VALUE"""),2.022101E7)</f>
        <v>20221010</v>
      </c>
      <c r="I4" s="3" t="str">
        <f>IFERROR(__xludf.DUMMYFUNCTION("""COMPUTED_VALUE"""),"visitudaipur")</f>
        <v>visitudaipur</v>
      </c>
      <c r="J4" s="3">
        <f>IFERROR(__xludf.DUMMYFUNCTION("""COMPUTED_VALUE"""),4565.0)</f>
        <v>4565</v>
      </c>
      <c r="K4" s="3" t="str">
        <f t="shared" ref="K4:L4" si="8">TRIM(F4)</f>
        <v>NEFT</v>
      </c>
      <c r="L4" s="3" t="str">
        <f t="shared" si="8"/>
        <v>Instagram</v>
      </c>
      <c r="M4" s="3" t="str">
        <f t="shared" si="3"/>
        <v>Instagram</v>
      </c>
      <c r="N4" s="3" t="str">
        <f>IFERROR(__xludf.DUMMYFUNCTION("SPLIT(M4,""&amp;"")"),"Instagram")</f>
        <v>Instagram</v>
      </c>
      <c r="O4" s="3" t="str">
        <f t="shared" si="4"/>
        <v>Instagram</v>
      </c>
      <c r="P4" s="3" t="str">
        <f t="shared" si="5"/>
        <v>visitudaipur</v>
      </c>
      <c r="Q4" s="3" t="str">
        <f t="shared" si="6"/>
        <v>Visitudaipur</v>
      </c>
      <c r="R4" s="3">
        <f t="shared" si="7"/>
        <v>4565</v>
      </c>
    </row>
    <row r="5">
      <c r="A5" s="7" t="s">
        <v>34</v>
      </c>
      <c r="B5" s="8" t="s">
        <v>6</v>
      </c>
      <c r="C5" s="8">
        <v>54000.0</v>
      </c>
      <c r="E5" s="3" t="str">
        <f>IFERROR(__xludf.DUMMYFUNCTION("SPLIT(A5,""|"")")," CHQ/Offline &amp;/20221021/Visitjodhpur/4566 ")</f>
        <v> CHQ/Offline &amp;/20221021/Visitjodhpur/4566 </v>
      </c>
      <c r="F5" s="3" t="str">
        <f>IFERROR(__xludf.DUMMYFUNCTION("SPLIT(E5,""/"")")," CHQ")</f>
        <v> CHQ</v>
      </c>
      <c r="G5" s="3" t="str">
        <f>IFERROR(__xludf.DUMMYFUNCTION("""COMPUTED_VALUE"""),"Offline &amp;")</f>
        <v>Offline &amp;</v>
      </c>
      <c r="H5" s="3">
        <f>IFERROR(__xludf.DUMMYFUNCTION("""COMPUTED_VALUE"""),2.0221021E7)</f>
        <v>20221021</v>
      </c>
      <c r="I5" s="3" t="str">
        <f>IFERROR(__xludf.DUMMYFUNCTION("""COMPUTED_VALUE"""),"Visitjodhpur")</f>
        <v>Visitjodhpur</v>
      </c>
      <c r="J5" s="3">
        <f>IFERROR(__xludf.DUMMYFUNCTION("""COMPUTED_VALUE"""),4566.0)</f>
        <v>4566</v>
      </c>
      <c r="K5" s="3" t="str">
        <f t="shared" ref="K5:L5" si="9">TRIM(F5)</f>
        <v>CHQ</v>
      </c>
      <c r="L5" s="3" t="str">
        <f t="shared" si="9"/>
        <v>Offline &amp;</v>
      </c>
      <c r="M5" s="3" t="str">
        <f t="shared" si="3"/>
        <v>Offline &amp;</v>
      </c>
      <c r="N5" s="3" t="str">
        <f>IFERROR(__xludf.DUMMYFUNCTION("SPLIT(M5,""&amp;"")"),"Offline ")</f>
        <v>Offline </v>
      </c>
      <c r="O5" s="3" t="str">
        <f t="shared" si="4"/>
        <v>Offline</v>
      </c>
      <c r="P5" s="3" t="str">
        <f t="shared" si="5"/>
        <v>Visitjodhpur</v>
      </c>
      <c r="Q5" s="3" t="str">
        <f t="shared" si="6"/>
        <v>Visitjodhpur</v>
      </c>
      <c r="R5" s="3">
        <f t="shared" si="7"/>
        <v>4566</v>
      </c>
    </row>
    <row r="6">
      <c r="A6" s="7" t="s">
        <v>35</v>
      </c>
      <c r="B6" s="8" t="s">
        <v>6</v>
      </c>
      <c r="C6" s="8">
        <v>73700.0</v>
      </c>
      <c r="E6" s="3" t="str">
        <f>IFERROR(__xludf.DUMMYFUNCTION("SPLIT(A6,""|"")")," VfS/Google Ads/20221018/visitJaisalmer/3455 ")</f>
        <v> VfS/Google Ads/20221018/visitJaisalmer/3455 </v>
      </c>
      <c r="F6" s="3" t="str">
        <f>IFERROR(__xludf.DUMMYFUNCTION("SPLIT(E6,""/"")")," VfS")</f>
        <v> VfS</v>
      </c>
      <c r="G6" s="3" t="str">
        <f>IFERROR(__xludf.DUMMYFUNCTION("""COMPUTED_VALUE"""),"Google Ads")</f>
        <v>Google Ads</v>
      </c>
      <c r="H6" s="3">
        <f>IFERROR(__xludf.DUMMYFUNCTION("""COMPUTED_VALUE"""),2.0221018E7)</f>
        <v>20221018</v>
      </c>
      <c r="I6" s="3" t="str">
        <f>IFERROR(__xludf.DUMMYFUNCTION("""COMPUTED_VALUE"""),"visitJaisalmer")</f>
        <v>visitJaisalmer</v>
      </c>
      <c r="J6" s="3">
        <f>IFERROR(__xludf.DUMMYFUNCTION("""COMPUTED_VALUE"""),3455.0)</f>
        <v>3455</v>
      </c>
      <c r="K6" s="3" t="str">
        <f t="shared" ref="K6:L6" si="10">TRIM(F6)</f>
        <v>VfS</v>
      </c>
      <c r="L6" s="3" t="str">
        <f t="shared" si="10"/>
        <v>Google Ads</v>
      </c>
      <c r="M6" s="3" t="str">
        <f t="shared" si="3"/>
        <v>Google Ads</v>
      </c>
      <c r="N6" s="3" t="str">
        <f>IFERROR(__xludf.DUMMYFUNCTION("SPLIT(M6,""&amp;"")"),"Google Ads")</f>
        <v>Google Ads</v>
      </c>
      <c r="O6" s="3" t="str">
        <f t="shared" si="4"/>
        <v>Google Ads</v>
      </c>
      <c r="P6" s="3" t="str">
        <f t="shared" si="5"/>
        <v>visitJaisalmer</v>
      </c>
      <c r="Q6" s="3" t="str">
        <f t="shared" si="6"/>
        <v>Visitjaisalmer</v>
      </c>
      <c r="R6" s="3">
        <f t="shared" si="7"/>
        <v>3455</v>
      </c>
    </row>
    <row r="7">
      <c r="A7" s="7" t="s">
        <v>36</v>
      </c>
      <c r="B7" s="8" t="s">
        <v>6</v>
      </c>
      <c r="C7" s="8">
        <v>74600.0</v>
      </c>
      <c r="E7" s="3" t="str">
        <f>IFERROR(__xludf.DUMMYFUNCTION("SPLIT(A7,""|"")")," VIN/TwiTter/20221005/visitbikaner/5666 ")</f>
        <v> VIN/TwiTter/20221005/visitbikaner/5666 </v>
      </c>
      <c r="F7" s="3" t="str">
        <f>IFERROR(__xludf.DUMMYFUNCTION("SPLIT(E7,""/"")")," VIN")</f>
        <v> VIN</v>
      </c>
      <c r="G7" s="3" t="str">
        <f>IFERROR(__xludf.DUMMYFUNCTION("""COMPUTED_VALUE"""),"TwiTter")</f>
        <v>TwiTter</v>
      </c>
      <c r="H7" s="3">
        <f>IFERROR(__xludf.DUMMYFUNCTION("""COMPUTED_VALUE"""),2.0221005E7)</f>
        <v>20221005</v>
      </c>
      <c r="I7" s="3" t="str">
        <f>IFERROR(__xludf.DUMMYFUNCTION("""COMPUTED_VALUE"""),"visitbikaner")</f>
        <v>visitbikaner</v>
      </c>
      <c r="J7" s="3">
        <f>IFERROR(__xludf.DUMMYFUNCTION("""COMPUTED_VALUE"""),5666.0)</f>
        <v>5666</v>
      </c>
      <c r="K7" s="3" t="str">
        <f t="shared" ref="K7:L7" si="11">TRIM(F7)</f>
        <v>VIN</v>
      </c>
      <c r="L7" s="3" t="str">
        <f t="shared" si="11"/>
        <v>TwiTter</v>
      </c>
      <c r="M7" s="3" t="str">
        <f t="shared" si="3"/>
        <v>Twitter</v>
      </c>
      <c r="N7" s="3" t="str">
        <f>IFERROR(__xludf.DUMMYFUNCTION("SPLIT(M7,""&amp;"")"),"Twitter")</f>
        <v>Twitter</v>
      </c>
      <c r="O7" s="3" t="str">
        <f t="shared" si="4"/>
        <v>Twitter</v>
      </c>
      <c r="P7" s="3" t="str">
        <f t="shared" si="5"/>
        <v>visitbikaner</v>
      </c>
      <c r="Q7" s="3" t="str">
        <f t="shared" si="6"/>
        <v>Visitbikaner</v>
      </c>
      <c r="R7" s="3">
        <f t="shared" si="7"/>
        <v>5666</v>
      </c>
    </row>
    <row r="8">
      <c r="A8" s="7" t="s">
        <v>37</v>
      </c>
      <c r="B8" s="8" t="s">
        <v>6</v>
      </c>
      <c r="C8" s="8">
        <v>21500.0</v>
      </c>
      <c r="E8" s="3" t="str">
        <f>IFERROR(__xludf.DUMMYFUNCTION("SPLIT(A8,""|"")")," NEFT/YouTube/20221010/Visitjaipur/5676 ")</f>
        <v> NEFT/YouTube/20221010/Visitjaipur/5676 </v>
      </c>
      <c r="F8" s="3" t="str">
        <f>IFERROR(__xludf.DUMMYFUNCTION("SPLIT(E8,""/"")")," NEFT")</f>
        <v> NEFT</v>
      </c>
      <c r="G8" s="3" t="str">
        <f>IFERROR(__xludf.DUMMYFUNCTION("""COMPUTED_VALUE"""),"YouTube")</f>
        <v>YouTube</v>
      </c>
      <c r="H8" s="3">
        <f>IFERROR(__xludf.DUMMYFUNCTION("""COMPUTED_VALUE"""),2.022101E7)</f>
        <v>20221010</v>
      </c>
      <c r="I8" s="3" t="str">
        <f>IFERROR(__xludf.DUMMYFUNCTION("""COMPUTED_VALUE"""),"Visitjaipur")</f>
        <v>Visitjaipur</v>
      </c>
      <c r="J8" s="3">
        <f>IFERROR(__xludf.DUMMYFUNCTION("""COMPUTED_VALUE"""),5676.0)</f>
        <v>5676</v>
      </c>
      <c r="K8" s="3" t="str">
        <f t="shared" ref="K8:L8" si="12">TRIM(F8)</f>
        <v>NEFT</v>
      </c>
      <c r="L8" s="3" t="str">
        <f t="shared" si="12"/>
        <v>YouTube</v>
      </c>
      <c r="M8" s="3" t="str">
        <f t="shared" si="3"/>
        <v>Youtube</v>
      </c>
      <c r="N8" s="3" t="str">
        <f>IFERROR(__xludf.DUMMYFUNCTION("SPLIT(M8,""&amp;"")"),"Youtube")</f>
        <v>Youtube</v>
      </c>
      <c r="O8" s="3" t="str">
        <f t="shared" si="4"/>
        <v>Youtube</v>
      </c>
      <c r="P8" s="3" t="str">
        <f t="shared" si="5"/>
        <v>Visitjaipur</v>
      </c>
      <c r="Q8" s="3" t="str">
        <f t="shared" si="6"/>
        <v>Visitjaipur</v>
      </c>
      <c r="R8" s="3">
        <f t="shared" si="7"/>
        <v>5676</v>
      </c>
    </row>
    <row r="9">
      <c r="A9" s="7" t="s">
        <v>38</v>
      </c>
      <c r="B9" s="8" t="s">
        <v>6</v>
      </c>
      <c r="C9" s="8">
        <v>12100.0</v>
      </c>
      <c r="E9" s="3" t="str">
        <f>IFERROR(__xludf.DUMMYFUNCTION("SPLIT(A9,""|"")")," NEFT/Instagram/20221010/Visitjaipur/5676 ")</f>
        <v> NEFT/Instagram/20221010/Visitjaipur/5676 </v>
      </c>
      <c r="F9" s="3" t="str">
        <f>IFERROR(__xludf.DUMMYFUNCTION("SPLIT(E9,""/"")")," NEFT")</f>
        <v> NEFT</v>
      </c>
      <c r="G9" s="3" t="str">
        <f>IFERROR(__xludf.DUMMYFUNCTION("""COMPUTED_VALUE"""),"Instagram")</f>
        <v>Instagram</v>
      </c>
      <c r="H9" s="3">
        <f>IFERROR(__xludf.DUMMYFUNCTION("""COMPUTED_VALUE"""),2.022101E7)</f>
        <v>20221010</v>
      </c>
      <c r="I9" s="3" t="str">
        <f>IFERROR(__xludf.DUMMYFUNCTION("""COMPUTED_VALUE"""),"Visitjaipur")</f>
        <v>Visitjaipur</v>
      </c>
      <c r="J9" s="3">
        <f>IFERROR(__xludf.DUMMYFUNCTION("""COMPUTED_VALUE"""),5676.0)</f>
        <v>5676</v>
      </c>
      <c r="K9" s="3" t="str">
        <f t="shared" ref="K9:L9" si="13">TRIM(F9)</f>
        <v>NEFT</v>
      </c>
      <c r="L9" s="3" t="str">
        <f t="shared" si="13"/>
        <v>Instagram</v>
      </c>
      <c r="M9" s="3" t="str">
        <f t="shared" si="3"/>
        <v>Instagram</v>
      </c>
      <c r="N9" s="3" t="str">
        <f>IFERROR(__xludf.DUMMYFUNCTION("SPLIT(M9,""&amp;"")"),"Instagram")</f>
        <v>Instagram</v>
      </c>
      <c r="O9" s="3" t="str">
        <f t="shared" si="4"/>
        <v>Instagram</v>
      </c>
      <c r="P9" s="3" t="str">
        <f t="shared" si="5"/>
        <v>Visitjaipur</v>
      </c>
      <c r="Q9" s="3" t="str">
        <f t="shared" si="6"/>
        <v>Visitjaipur</v>
      </c>
      <c r="R9" s="3">
        <f t="shared" si="7"/>
        <v>5676</v>
      </c>
    </row>
    <row r="10">
      <c r="A10" s="7" t="s">
        <v>39</v>
      </c>
      <c r="B10" s="8" t="s">
        <v>6</v>
      </c>
      <c r="C10" s="8">
        <v>58400.0</v>
      </c>
      <c r="E10" s="3" t="str">
        <f>IFERROR(__xludf.DUMMYFUNCTION("SPLIT(A10,""|"")")," NEFT/Offline/20221010/Visitjaipur/5676 ")</f>
        <v> NEFT/Offline/20221010/Visitjaipur/5676 </v>
      </c>
      <c r="F10" s="3" t="str">
        <f>IFERROR(__xludf.DUMMYFUNCTION("SPLIT(E10,""/"")")," NEFT")</f>
        <v> NEFT</v>
      </c>
      <c r="G10" s="3" t="str">
        <f>IFERROR(__xludf.DUMMYFUNCTION("""COMPUTED_VALUE"""),"Offline")</f>
        <v>Offline</v>
      </c>
      <c r="H10" s="3">
        <f>IFERROR(__xludf.DUMMYFUNCTION("""COMPUTED_VALUE"""),2.022101E7)</f>
        <v>20221010</v>
      </c>
      <c r="I10" s="3" t="str">
        <f>IFERROR(__xludf.DUMMYFUNCTION("""COMPUTED_VALUE"""),"Visitjaipur")</f>
        <v>Visitjaipur</v>
      </c>
      <c r="J10" s="3">
        <f>IFERROR(__xludf.DUMMYFUNCTION("""COMPUTED_VALUE"""),5676.0)</f>
        <v>5676</v>
      </c>
      <c r="K10" s="3" t="str">
        <f t="shared" ref="K10:L10" si="14">TRIM(F10)</f>
        <v>NEFT</v>
      </c>
      <c r="L10" s="3" t="str">
        <f t="shared" si="14"/>
        <v>Offline</v>
      </c>
      <c r="M10" s="3" t="str">
        <f t="shared" si="3"/>
        <v>Offline</v>
      </c>
      <c r="N10" s="3" t="str">
        <f>IFERROR(__xludf.DUMMYFUNCTION("SPLIT(M10,""&amp;"")"),"Offline")</f>
        <v>Offline</v>
      </c>
      <c r="O10" s="3" t="str">
        <f t="shared" si="4"/>
        <v>Offline</v>
      </c>
      <c r="P10" s="3" t="str">
        <f t="shared" si="5"/>
        <v>Visitjaipur</v>
      </c>
      <c r="Q10" s="3" t="str">
        <f t="shared" si="6"/>
        <v>Visitjaipur</v>
      </c>
      <c r="R10" s="3">
        <f t="shared" si="7"/>
        <v>5676</v>
      </c>
    </row>
    <row r="11">
      <c r="A11" s="7" t="s">
        <v>40</v>
      </c>
      <c r="B11" s="8" t="s">
        <v>6</v>
      </c>
      <c r="C11" s="8">
        <v>71500.0</v>
      </c>
      <c r="E11" s="3" t="str">
        <f>IFERROR(__xludf.DUMMYFUNCTION("SPLIT(A11,""|"")")," NEFT/Google Ads/20221010/Visitjaipur/5676 ")</f>
        <v> NEFT/Google Ads/20221010/Visitjaipur/5676 </v>
      </c>
      <c r="F11" s="3" t="str">
        <f>IFERROR(__xludf.DUMMYFUNCTION("SPLIT(E11,""/"")")," NEFT")</f>
        <v> NEFT</v>
      </c>
      <c r="G11" s="3" t="str">
        <f>IFERROR(__xludf.DUMMYFUNCTION("""COMPUTED_VALUE"""),"Google Ads")</f>
        <v>Google Ads</v>
      </c>
      <c r="H11" s="3">
        <f>IFERROR(__xludf.DUMMYFUNCTION("""COMPUTED_VALUE"""),2.022101E7)</f>
        <v>20221010</v>
      </c>
      <c r="I11" s="3" t="str">
        <f>IFERROR(__xludf.DUMMYFUNCTION("""COMPUTED_VALUE"""),"Visitjaipur")</f>
        <v>Visitjaipur</v>
      </c>
      <c r="J11" s="3">
        <f>IFERROR(__xludf.DUMMYFUNCTION("""COMPUTED_VALUE"""),5676.0)</f>
        <v>5676</v>
      </c>
      <c r="K11" s="3" t="str">
        <f t="shared" ref="K11:L11" si="15">TRIM(F11)</f>
        <v>NEFT</v>
      </c>
      <c r="L11" s="3" t="str">
        <f t="shared" si="15"/>
        <v>Google Ads</v>
      </c>
      <c r="M11" s="3" t="str">
        <f t="shared" si="3"/>
        <v>Google Ads</v>
      </c>
      <c r="N11" s="3" t="str">
        <f>IFERROR(__xludf.DUMMYFUNCTION("SPLIT(M11,""&amp;"")"),"Google Ads")</f>
        <v>Google Ads</v>
      </c>
      <c r="O11" s="3" t="str">
        <f t="shared" si="4"/>
        <v>Google Ads</v>
      </c>
      <c r="P11" s="3" t="str">
        <f t="shared" si="5"/>
        <v>Visitjaipur</v>
      </c>
      <c r="Q11" s="3" t="str">
        <f t="shared" si="6"/>
        <v>Visitjaipur</v>
      </c>
      <c r="R11" s="3">
        <f t="shared" si="7"/>
        <v>5676</v>
      </c>
    </row>
    <row r="12">
      <c r="A12" s="7" t="s">
        <v>41</v>
      </c>
      <c r="B12" s="8" t="s">
        <v>6</v>
      </c>
      <c r="C12" s="8">
        <v>17200.0</v>
      </c>
      <c r="E12" s="3" t="str">
        <f>IFERROR(__xludf.DUMMYFUNCTION("SPLIT(A12,""|"")")," NEFT/Twitter/20221010/Visitjaipur/5676 ")</f>
        <v> NEFT/Twitter/20221010/Visitjaipur/5676 </v>
      </c>
      <c r="F12" s="3" t="str">
        <f>IFERROR(__xludf.DUMMYFUNCTION("SPLIT(E12,""/"")")," NEFT")</f>
        <v> NEFT</v>
      </c>
      <c r="G12" s="3" t="str">
        <f>IFERROR(__xludf.DUMMYFUNCTION("""COMPUTED_VALUE"""),"Twitter")</f>
        <v>Twitter</v>
      </c>
      <c r="H12" s="3">
        <f>IFERROR(__xludf.DUMMYFUNCTION("""COMPUTED_VALUE"""),2.022101E7)</f>
        <v>20221010</v>
      </c>
      <c r="I12" s="3" t="str">
        <f>IFERROR(__xludf.DUMMYFUNCTION("""COMPUTED_VALUE"""),"Visitjaipur")</f>
        <v>Visitjaipur</v>
      </c>
      <c r="J12" s="3">
        <f>IFERROR(__xludf.DUMMYFUNCTION("""COMPUTED_VALUE"""),5676.0)</f>
        <v>5676</v>
      </c>
      <c r="K12" s="3" t="str">
        <f t="shared" ref="K12:L12" si="16">TRIM(F12)</f>
        <v>NEFT</v>
      </c>
      <c r="L12" s="3" t="str">
        <f t="shared" si="16"/>
        <v>Twitter</v>
      </c>
      <c r="M12" s="3" t="str">
        <f t="shared" si="3"/>
        <v>Twitter</v>
      </c>
      <c r="N12" s="3" t="str">
        <f>IFERROR(__xludf.DUMMYFUNCTION("SPLIT(M12,""&amp;"")"),"Twitter")</f>
        <v>Twitter</v>
      </c>
      <c r="O12" s="3" t="str">
        <f t="shared" si="4"/>
        <v>Twitter</v>
      </c>
      <c r="P12" s="3" t="str">
        <f t="shared" si="5"/>
        <v>Visitjaipur</v>
      </c>
      <c r="Q12" s="3" t="str">
        <f t="shared" si="6"/>
        <v>Visitjaipur</v>
      </c>
      <c r="R12" s="3">
        <f t="shared" si="7"/>
        <v>5676</v>
      </c>
    </row>
    <row r="13">
      <c r="A13" s="7" t="s">
        <v>42</v>
      </c>
      <c r="B13" s="8" t="s">
        <v>6</v>
      </c>
      <c r="C13" s="8">
        <v>55800.0</v>
      </c>
      <c r="E13" s="3" t="str">
        <f>IFERROR(__xludf.DUMMYFUNCTION("SPLIT(A13,""|"")")," CHQ/YouTube &amp;/20221030/Visitrajasthan/4564 ")</f>
        <v> CHQ/YouTube &amp;/20221030/Visitrajasthan/4564 </v>
      </c>
      <c r="F13" s="3" t="str">
        <f>IFERROR(__xludf.DUMMYFUNCTION("SPLIT(E13,""/"")")," CHQ")</f>
        <v> CHQ</v>
      </c>
      <c r="G13" s="3" t="str">
        <f>IFERROR(__xludf.DUMMYFUNCTION("""COMPUTED_VALUE"""),"YouTube &amp;")</f>
        <v>YouTube &amp;</v>
      </c>
      <c r="H13" s="3">
        <f>IFERROR(__xludf.DUMMYFUNCTION("""COMPUTED_VALUE"""),2.022103E7)</f>
        <v>20221030</v>
      </c>
      <c r="I13" s="3" t="str">
        <f>IFERROR(__xludf.DUMMYFUNCTION("""COMPUTED_VALUE"""),"Visitrajasthan")</f>
        <v>Visitrajasthan</v>
      </c>
      <c r="J13" s="3">
        <f>IFERROR(__xludf.DUMMYFUNCTION("""COMPUTED_VALUE"""),4564.0)</f>
        <v>4564</v>
      </c>
      <c r="K13" s="3" t="str">
        <f t="shared" ref="K13:L13" si="17">TRIM(F13)</f>
        <v>CHQ</v>
      </c>
      <c r="L13" s="3" t="str">
        <f t="shared" si="17"/>
        <v>YouTube &amp;</v>
      </c>
      <c r="M13" s="3" t="str">
        <f t="shared" si="3"/>
        <v>Youtube &amp;</v>
      </c>
      <c r="N13" s="3" t="str">
        <f>IFERROR(__xludf.DUMMYFUNCTION("SPLIT(M13,""&amp;"")"),"Youtube ")</f>
        <v>Youtube </v>
      </c>
      <c r="O13" s="3" t="str">
        <f t="shared" si="4"/>
        <v>Youtube</v>
      </c>
      <c r="P13" s="3" t="str">
        <f t="shared" si="5"/>
        <v>Visitrajasthan</v>
      </c>
      <c r="Q13" s="3" t="str">
        <f t="shared" si="6"/>
        <v>Visitrajasthan</v>
      </c>
      <c r="R13" s="3">
        <f t="shared" si="7"/>
        <v>4564</v>
      </c>
    </row>
    <row r="14">
      <c r="A14" s="7" t="s">
        <v>43</v>
      </c>
      <c r="B14" s="8" t="s">
        <v>6</v>
      </c>
      <c r="C14" s="8">
        <v>73900.0</v>
      </c>
      <c r="E14" s="3" t="str">
        <f>IFERROR(__xludf.DUMMYFUNCTION("SPLIT(A14,""|"")")," VfS/Facebook/20221007/visitudaipur/4565 ")</f>
        <v> VfS/Facebook/20221007/visitudaipur/4565 </v>
      </c>
      <c r="F14" s="3" t="str">
        <f>IFERROR(__xludf.DUMMYFUNCTION("SPLIT(E14,""/"")")," VfS")</f>
        <v> VfS</v>
      </c>
      <c r="G14" s="3" t="str">
        <f>IFERROR(__xludf.DUMMYFUNCTION("""COMPUTED_VALUE"""),"Facebook")</f>
        <v>Facebook</v>
      </c>
      <c r="H14" s="3">
        <f>IFERROR(__xludf.DUMMYFUNCTION("""COMPUTED_VALUE"""),2.0221007E7)</f>
        <v>20221007</v>
      </c>
      <c r="I14" s="3" t="str">
        <f>IFERROR(__xludf.DUMMYFUNCTION("""COMPUTED_VALUE"""),"visitudaipur")</f>
        <v>visitudaipur</v>
      </c>
      <c r="J14" s="3">
        <f>IFERROR(__xludf.DUMMYFUNCTION("""COMPUTED_VALUE"""),4565.0)</f>
        <v>4565</v>
      </c>
      <c r="K14" s="3" t="str">
        <f t="shared" ref="K14:L14" si="18">TRIM(F14)</f>
        <v>VfS</v>
      </c>
      <c r="L14" s="3" t="str">
        <f t="shared" si="18"/>
        <v>Facebook</v>
      </c>
      <c r="M14" s="3" t="str">
        <f t="shared" si="3"/>
        <v>Facebook</v>
      </c>
      <c r="N14" s="3" t="str">
        <f>IFERROR(__xludf.DUMMYFUNCTION("SPLIT(M14,""&amp;"")"),"Facebook")</f>
        <v>Facebook</v>
      </c>
      <c r="O14" s="3" t="str">
        <f t="shared" si="4"/>
        <v>Facebook</v>
      </c>
      <c r="P14" s="3" t="str">
        <f t="shared" si="5"/>
        <v>visitudaipur</v>
      </c>
      <c r="Q14" s="3" t="str">
        <f t="shared" si="6"/>
        <v>Visitudaipur</v>
      </c>
      <c r="R14" s="3">
        <f t="shared" si="7"/>
        <v>4565</v>
      </c>
    </row>
    <row r="15">
      <c r="A15" s="7" t="s">
        <v>44</v>
      </c>
      <c r="B15" s="8" t="s">
        <v>6</v>
      </c>
      <c r="C15" s="8">
        <v>53000.0</v>
      </c>
      <c r="E15" s="3" t="str">
        <f>IFERROR(__xludf.DUMMYFUNCTION("SPLIT(A15,""|"")")," VIN/YouTube &amp;/20221025/Visitjodhpur/4566 ")</f>
        <v> VIN/YouTube &amp;/20221025/Visitjodhpur/4566 </v>
      </c>
      <c r="F15" s="3" t="str">
        <f>IFERROR(__xludf.DUMMYFUNCTION("SPLIT(E15,""/"")")," VIN")</f>
        <v> VIN</v>
      </c>
      <c r="G15" s="3" t="str">
        <f>IFERROR(__xludf.DUMMYFUNCTION("""COMPUTED_VALUE"""),"YouTube &amp;")</f>
        <v>YouTube &amp;</v>
      </c>
      <c r="H15" s="3">
        <f>IFERROR(__xludf.DUMMYFUNCTION("""COMPUTED_VALUE"""),2.0221025E7)</f>
        <v>20221025</v>
      </c>
      <c r="I15" s="3" t="str">
        <f>IFERROR(__xludf.DUMMYFUNCTION("""COMPUTED_VALUE"""),"Visitjodhpur")</f>
        <v>Visitjodhpur</v>
      </c>
      <c r="J15" s="3">
        <f>IFERROR(__xludf.DUMMYFUNCTION("""COMPUTED_VALUE"""),4566.0)</f>
        <v>4566</v>
      </c>
      <c r="K15" s="3" t="str">
        <f t="shared" ref="K15:L15" si="19">TRIM(F15)</f>
        <v>VIN</v>
      </c>
      <c r="L15" s="3" t="str">
        <f t="shared" si="19"/>
        <v>YouTube &amp;</v>
      </c>
      <c r="M15" s="3" t="str">
        <f t="shared" si="3"/>
        <v>Youtube &amp;</v>
      </c>
      <c r="N15" s="3" t="str">
        <f>IFERROR(__xludf.DUMMYFUNCTION("SPLIT(M15,""&amp;"")"),"Youtube ")</f>
        <v>Youtube </v>
      </c>
      <c r="O15" s="3" t="str">
        <f t="shared" si="4"/>
        <v>Youtube</v>
      </c>
      <c r="P15" s="3" t="str">
        <f t="shared" si="5"/>
        <v>Visitjodhpur</v>
      </c>
      <c r="Q15" s="3" t="str">
        <f t="shared" si="6"/>
        <v>Visitjodhpur</v>
      </c>
      <c r="R15" s="3">
        <f t="shared" si="7"/>
        <v>4566</v>
      </c>
    </row>
    <row r="16">
      <c r="A16" s="7" t="s">
        <v>45</v>
      </c>
      <c r="B16" s="8" t="s">
        <v>6</v>
      </c>
      <c r="C16" s="8">
        <v>76300.0</v>
      </c>
      <c r="E16" s="3" t="str">
        <f>IFERROR(__xludf.DUMMYFUNCTION("SPLIT(A16,""|"")")," NEFT/Facebook/20221013/Visitjaipur/5676 ")</f>
        <v> NEFT/Facebook/20221013/Visitjaipur/5676 </v>
      </c>
      <c r="F16" s="3" t="str">
        <f>IFERROR(__xludf.DUMMYFUNCTION("SPLIT(E16,""/"")")," NEFT")</f>
        <v> NEFT</v>
      </c>
      <c r="G16" s="3" t="str">
        <f>IFERROR(__xludf.DUMMYFUNCTION("""COMPUTED_VALUE"""),"Facebook")</f>
        <v>Facebook</v>
      </c>
      <c r="H16" s="3">
        <f>IFERROR(__xludf.DUMMYFUNCTION("""COMPUTED_VALUE"""),2.0221013E7)</f>
        <v>20221013</v>
      </c>
      <c r="I16" s="3" t="str">
        <f>IFERROR(__xludf.DUMMYFUNCTION("""COMPUTED_VALUE"""),"Visitjaipur")</f>
        <v>Visitjaipur</v>
      </c>
      <c r="J16" s="3">
        <f>IFERROR(__xludf.DUMMYFUNCTION("""COMPUTED_VALUE"""),5676.0)</f>
        <v>5676</v>
      </c>
      <c r="K16" s="3" t="str">
        <f t="shared" ref="K16:L16" si="20">TRIM(F16)</f>
        <v>NEFT</v>
      </c>
      <c r="L16" s="3" t="str">
        <f t="shared" si="20"/>
        <v>Facebook</v>
      </c>
      <c r="M16" s="3" t="str">
        <f t="shared" si="3"/>
        <v>Facebook</v>
      </c>
      <c r="N16" s="3" t="str">
        <f>IFERROR(__xludf.DUMMYFUNCTION("SPLIT(M16,""&amp;"")"),"Facebook")</f>
        <v>Facebook</v>
      </c>
      <c r="O16" s="3" t="str">
        <f t="shared" si="4"/>
        <v>Facebook</v>
      </c>
      <c r="P16" s="3" t="str">
        <f t="shared" si="5"/>
        <v>Visitjaipur</v>
      </c>
      <c r="Q16" s="3" t="str">
        <f t="shared" si="6"/>
        <v>Visitjaipur</v>
      </c>
      <c r="R16" s="3">
        <f t="shared" si="7"/>
        <v>5676</v>
      </c>
    </row>
    <row r="17">
      <c r="A17" s="7" t="s">
        <v>46</v>
      </c>
      <c r="B17" s="8" t="s">
        <v>6</v>
      </c>
      <c r="C17" s="8">
        <v>16600.0</v>
      </c>
      <c r="E17" s="3" t="str">
        <f>IFERROR(__xludf.DUMMYFUNCTION("SPLIT(A17,""|"")")," VfS/Facebook/20221022/Visitrajasthan/4564 ")</f>
        <v> VfS/Facebook/20221022/Visitrajasthan/4564 </v>
      </c>
      <c r="F17" s="3" t="str">
        <f>IFERROR(__xludf.DUMMYFUNCTION("SPLIT(E17,""/"")")," VfS")</f>
        <v> VfS</v>
      </c>
      <c r="G17" s="3" t="str">
        <f>IFERROR(__xludf.DUMMYFUNCTION("""COMPUTED_VALUE"""),"Facebook")</f>
        <v>Facebook</v>
      </c>
      <c r="H17" s="3">
        <f>IFERROR(__xludf.DUMMYFUNCTION("""COMPUTED_VALUE"""),2.0221022E7)</f>
        <v>20221022</v>
      </c>
      <c r="I17" s="3" t="str">
        <f>IFERROR(__xludf.DUMMYFUNCTION("""COMPUTED_VALUE"""),"Visitrajasthan")</f>
        <v>Visitrajasthan</v>
      </c>
      <c r="J17" s="3">
        <f>IFERROR(__xludf.DUMMYFUNCTION("""COMPUTED_VALUE"""),4564.0)</f>
        <v>4564</v>
      </c>
      <c r="K17" s="3" t="str">
        <f t="shared" ref="K17:L17" si="21">TRIM(F17)</f>
        <v>VfS</v>
      </c>
      <c r="L17" s="3" t="str">
        <f t="shared" si="21"/>
        <v>Facebook</v>
      </c>
      <c r="M17" s="3" t="str">
        <f t="shared" si="3"/>
        <v>Facebook</v>
      </c>
      <c r="N17" s="3" t="str">
        <f>IFERROR(__xludf.DUMMYFUNCTION("SPLIT(M17,""&amp;"")"),"Facebook")</f>
        <v>Facebook</v>
      </c>
      <c r="O17" s="3" t="str">
        <f t="shared" si="4"/>
        <v>Facebook</v>
      </c>
      <c r="P17" s="3" t="str">
        <f t="shared" si="5"/>
        <v>Visitrajasthan</v>
      </c>
      <c r="Q17" s="3" t="str">
        <f t="shared" si="6"/>
        <v>Visitrajasthan</v>
      </c>
      <c r="R17" s="3">
        <f t="shared" si="7"/>
        <v>4564</v>
      </c>
    </row>
    <row r="18">
      <c r="A18" s="7" t="s">
        <v>47</v>
      </c>
      <c r="B18" s="8" t="s">
        <v>6</v>
      </c>
      <c r="C18" s="8">
        <v>85000.0</v>
      </c>
      <c r="E18" s="3" t="str">
        <f>IFERROR(__xludf.DUMMYFUNCTION("SPLIT(A18,""|"")")," CHQ/Google Ads/20221027/visitudaipur/4565 ")</f>
        <v> CHQ/Google Ads/20221027/visitudaipur/4565 </v>
      </c>
      <c r="F18" s="3" t="str">
        <f>IFERROR(__xludf.DUMMYFUNCTION("SPLIT(E18,""/"")")," CHQ")</f>
        <v> CHQ</v>
      </c>
      <c r="G18" s="3" t="str">
        <f>IFERROR(__xludf.DUMMYFUNCTION("""COMPUTED_VALUE"""),"Google Ads")</f>
        <v>Google Ads</v>
      </c>
      <c r="H18" s="3">
        <f>IFERROR(__xludf.DUMMYFUNCTION("""COMPUTED_VALUE"""),2.0221027E7)</f>
        <v>20221027</v>
      </c>
      <c r="I18" s="3" t="str">
        <f>IFERROR(__xludf.DUMMYFUNCTION("""COMPUTED_VALUE"""),"visitudaipur")</f>
        <v>visitudaipur</v>
      </c>
      <c r="J18" s="3">
        <f>IFERROR(__xludf.DUMMYFUNCTION("""COMPUTED_VALUE"""),4565.0)</f>
        <v>4565</v>
      </c>
      <c r="K18" s="3" t="str">
        <f t="shared" ref="K18:L18" si="22">TRIM(F18)</f>
        <v>CHQ</v>
      </c>
      <c r="L18" s="3" t="str">
        <f t="shared" si="22"/>
        <v>Google Ads</v>
      </c>
      <c r="M18" s="3" t="str">
        <f t="shared" si="3"/>
        <v>Google Ads</v>
      </c>
      <c r="N18" s="3" t="str">
        <f>IFERROR(__xludf.DUMMYFUNCTION("SPLIT(M18,""&amp;"")"),"Google Ads")</f>
        <v>Google Ads</v>
      </c>
      <c r="O18" s="3" t="str">
        <f t="shared" si="4"/>
        <v>Google Ads</v>
      </c>
      <c r="P18" s="3" t="str">
        <f t="shared" si="5"/>
        <v>visitudaipur</v>
      </c>
      <c r="Q18" s="3" t="str">
        <f t="shared" si="6"/>
        <v>Visitudaipur</v>
      </c>
      <c r="R18" s="3">
        <f t="shared" si="7"/>
        <v>4565</v>
      </c>
    </row>
    <row r="19">
      <c r="A19" s="7" t="s">
        <v>48</v>
      </c>
      <c r="B19" s="8" t="s">
        <v>6</v>
      </c>
      <c r="C19" s="8">
        <v>20100.0</v>
      </c>
      <c r="E19" s="3" t="str">
        <f>IFERROR(__xludf.DUMMYFUNCTION("SPLIT(A19,""|"")")," VIN/twitter &amp;/20221019/Visitjodhpur/4566 ")</f>
        <v> VIN/twitter &amp;/20221019/Visitjodhpur/4566 </v>
      </c>
      <c r="F19" s="3" t="str">
        <f>IFERROR(__xludf.DUMMYFUNCTION("SPLIT(E19,""/"")")," VIN")</f>
        <v> VIN</v>
      </c>
      <c r="G19" s="3" t="str">
        <f>IFERROR(__xludf.DUMMYFUNCTION("""COMPUTED_VALUE"""),"twitter &amp;")</f>
        <v>twitter &amp;</v>
      </c>
      <c r="H19" s="3">
        <f>IFERROR(__xludf.DUMMYFUNCTION("""COMPUTED_VALUE"""),2.0221019E7)</f>
        <v>20221019</v>
      </c>
      <c r="I19" s="3" t="str">
        <f>IFERROR(__xludf.DUMMYFUNCTION("""COMPUTED_VALUE"""),"Visitjodhpur")</f>
        <v>Visitjodhpur</v>
      </c>
      <c r="J19" s="3">
        <f>IFERROR(__xludf.DUMMYFUNCTION("""COMPUTED_VALUE"""),4566.0)</f>
        <v>4566</v>
      </c>
      <c r="K19" s="3" t="str">
        <f t="shared" ref="K19:L19" si="23">TRIM(F19)</f>
        <v>VIN</v>
      </c>
      <c r="L19" s="3" t="str">
        <f t="shared" si="23"/>
        <v>twitter &amp;</v>
      </c>
      <c r="M19" s="3" t="str">
        <f t="shared" si="3"/>
        <v>Twitter &amp;</v>
      </c>
      <c r="N19" s="3" t="str">
        <f>IFERROR(__xludf.DUMMYFUNCTION("SPLIT(M19,""&amp;"")"),"Twitter ")</f>
        <v>Twitter </v>
      </c>
      <c r="O19" s="3" t="str">
        <f t="shared" si="4"/>
        <v>Twitter</v>
      </c>
      <c r="P19" s="3" t="str">
        <f t="shared" si="5"/>
        <v>Visitjodhpur</v>
      </c>
      <c r="Q19" s="3" t="str">
        <f t="shared" si="6"/>
        <v>Visitjodhpur</v>
      </c>
      <c r="R19" s="3">
        <f t="shared" si="7"/>
        <v>4566</v>
      </c>
    </row>
    <row r="20">
      <c r="A20" s="7" t="s">
        <v>49</v>
      </c>
      <c r="B20" s="8" t="s">
        <v>6</v>
      </c>
      <c r="C20" s="8">
        <v>52100.0</v>
      </c>
      <c r="E20" s="3" t="str">
        <f>IFERROR(__xludf.DUMMYFUNCTION("SPLIT(A20,""|"")")," NEFT/Facebook/20221005/visitJaisalmer/3455 ")</f>
        <v> NEFT/Facebook/20221005/visitJaisalmer/3455 </v>
      </c>
      <c r="F20" s="3" t="str">
        <f>IFERROR(__xludf.DUMMYFUNCTION("SPLIT(E20,""/"")")," NEFT")</f>
        <v> NEFT</v>
      </c>
      <c r="G20" s="3" t="str">
        <f>IFERROR(__xludf.DUMMYFUNCTION("""COMPUTED_VALUE"""),"Facebook")</f>
        <v>Facebook</v>
      </c>
      <c r="H20" s="3">
        <f>IFERROR(__xludf.DUMMYFUNCTION("""COMPUTED_VALUE"""),2.0221005E7)</f>
        <v>20221005</v>
      </c>
      <c r="I20" s="3" t="str">
        <f>IFERROR(__xludf.DUMMYFUNCTION("""COMPUTED_VALUE"""),"visitJaisalmer")</f>
        <v>visitJaisalmer</v>
      </c>
      <c r="J20" s="3">
        <f>IFERROR(__xludf.DUMMYFUNCTION("""COMPUTED_VALUE"""),3455.0)</f>
        <v>3455</v>
      </c>
      <c r="K20" s="3" t="str">
        <f t="shared" ref="K20:L20" si="24">TRIM(F20)</f>
        <v>NEFT</v>
      </c>
      <c r="L20" s="3" t="str">
        <f t="shared" si="24"/>
        <v>Facebook</v>
      </c>
      <c r="M20" s="3" t="str">
        <f t="shared" si="3"/>
        <v>Facebook</v>
      </c>
      <c r="N20" s="3" t="str">
        <f>IFERROR(__xludf.DUMMYFUNCTION("SPLIT(M20,""&amp;"")"),"Facebook")</f>
        <v>Facebook</v>
      </c>
      <c r="O20" s="3" t="str">
        <f t="shared" si="4"/>
        <v>Facebook</v>
      </c>
      <c r="P20" s="3" t="str">
        <f t="shared" si="5"/>
        <v>visitJaisalmer</v>
      </c>
      <c r="Q20" s="3" t="str">
        <f t="shared" si="6"/>
        <v>Visitjaisalmer</v>
      </c>
      <c r="R20" s="3">
        <f t="shared" si="7"/>
        <v>3455</v>
      </c>
    </row>
    <row r="21">
      <c r="A21" s="7" t="s">
        <v>50</v>
      </c>
      <c r="B21" s="8" t="s">
        <v>6</v>
      </c>
      <c r="C21" s="8">
        <v>83000.0</v>
      </c>
      <c r="E21" s="3" t="str">
        <f>IFERROR(__xludf.DUMMYFUNCTION("SPLIT(A21,""|"")")," CHQ/FaceBook/20221008/visitbikaner/5666 ")</f>
        <v> CHQ/FaceBook/20221008/visitbikaner/5666 </v>
      </c>
      <c r="F21" s="3" t="str">
        <f>IFERROR(__xludf.DUMMYFUNCTION("SPLIT(E21,""/"")")," CHQ")</f>
        <v> CHQ</v>
      </c>
      <c r="G21" s="3" t="str">
        <f>IFERROR(__xludf.DUMMYFUNCTION("""COMPUTED_VALUE"""),"FaceBook")</f>
        <v>FaceBook</v>
      </c>
      <c r="H21" s="3">
        <f>IFERROR(__xludf.DUMMYFUNCTION("""COMPUTED_VALUE"""),2.0221008E7)</f>
        <v>20221008</v>
      </c>
      <c r="I21" s="3" t="str">
        <f>IFERROR(__xludf.DUMMYFUNCTION("""COMPUTED_VALUE"""),"visitbikaner")</f>
        <v>visitbikaner</v>
      </c>
      <c r="J21" s="3">
        <f>IFERROR(__xludf.DUMMYFUNCTION("""COMPUTED_VALUE"""),5666.0)</f>
        <v>5666</v>
      </c>
      <c r="K21" s="3" t="str">
        <f t="shared" ref="K21:L21" si="25">TRIM(F21)</f>
        <v>CHQ</v>
      </c>
      <c r="L21" s="3" t="str">
        <f t="shared" si="25"/>
        <v>FaceBook</v>
      </c>
      <c r="M21" s="3" t="str">
        <f t="shared" si="3"/>
        <v>Facebook</v>
      </c>
      <c r="N21" s="3" t="str">
        <f>IFERROR(__xludf.DUMMYFUNCTION("SPLIT(M21,""&amp;"")"),"Facebook")</f>
        <v>Facebook</v>
      </c>
      <c r="O21" s="3" t="str">
        <f t="shared" si="4"/>
        <v>Facebook</v>
      </c>
      <c r="P21" s="3" t="str">
        <f t="shared" si="5"/>
        <v>visitbikaner</v>
      </c>
      <c r="Q21" s="3" t="str">
        <f t="shared" si="6"/>
        <v>Visitbikaner</v>
      </c>
      <c r="R21" s="3">
        <f t="shared" si="7"/>
        <v>5666</v>
      </c>
    </row>
    <row r="22">
      <c r="A22" s="7" t="s">
        <v>51</v>
      </c>
      <c r="B22" s="8" t="s">
        <v>6</v>
      </c>
      <c r="C22" s="8">
        <v>90500.0</v>
      </c>
      <c r="E22" s="3" t="str">
        <f>IFERROR(__xludf.DUMMYFUNCTION("SPLIT(A22,""|"")")," VfS/Facebook/20221016/Visitjaipur/5676 ")</f>
        <v> VfS/Facebook/20221016/Visitjaipur/5676 </v>
      </c>
      <c r="F22" s="3" t="str">
        <f>IFERROR(__xludf.DUMMYFUNCTION("SPLIT(E22,""/"")")," VfS")</f>
        <v> VfS</v>
      </c>
      <c r="G22" s="3" t="str">
        <f>IFERROR(__xludf.DUMMYFUNCTION("""COMPUTED_VALUE"""),"Facebook")</f>
        <v>Facebook</v>
      </c>
      <c r="H22" s="3">
        <f>IFERROR(__xludf.DUMMYFUNCTION("""COMPUTED_VALUE"""),2.0221016E7)</f>
        <v>20221016</v>
      </c>
      <c r="I22" s="3" t="str">
        <f>IFERROR(__xludf.DUMMYFUNCTION("""COMPUTED_VALUE"""),"Visitjaipur")</f>
        <v>Visitjaipur</v>
      </c>
      <c r="J22" s="3">
        <f>IFERROR(__xludf.DUMMYFUNCTION("""COMPUTED_VALUE"""),5676.0)</f>
        <v>5676</v>
      </c>
      <c r="K22" s="3" t="str">
        <f t="shared" ref="K22:L22" si="26">TRIM(F22)</f>
        <v>VfS</v>
      </c>
      <c r="L22" s="3" t="str">
        <f t="shared" si="26"/>
        <v>Facebook</v>
      </c>
      <c r="M22" s="3" t="str">
        <f t="shared" si="3"/>
        <v>Facebook</v>
      </c>
      <c r="N22" s="3" t="str">
        <f>IFERROR(__xludf.DUMMYFUNCTION("SPLIT(M22,""&amp;"")"),"Facebook")</f>
        <v>Facebook</v>
      </c>
      <c r="O22" s="3" t="str">
        <f t="shared" si="4"/>
        <v>Facebook</v>
      </c>
      <c r="P22" s="3" t="str">
        <f t="shared" si="5"/>
        <v>Visitjaipur</v>
      </c>
      <c r="Q22" s="3" t="str">
        <f t="shared" si="6"/>
        <v>Visitjaipur</v>
      </c>
      <c r="R22" s="3">
        <f t="shared" si="7"/>
        <v>5676</v>
      </c>
    </row>
    <row r="23">
      <c r="A23" s="7" t="s">
        <v>52</v>
      </c>
      <c r="B23" s="8" t="s">
        <v>6</v>
      </c>
      <c r="C23" s="8">
        <v>32200.0</v>
      </c>
      <c r="E23" s="3" t="str">
        <f>IFERROR(__xludf.DUMMYFUNCTION("SPLIT(A23,""|"")")," NEFT/Instagram &amp;/20221024/Visitrajasthan/4564 ")</f>
        <v> NEFT/Instagram &amp;/20221024/Visitrajasthan/4564 </v>
      </c>
      <c r="F23" s="3" t="str">
        <f>IFERROR(__xludf.DUMMYFUNCTION("SPLIT(E23,""/"")")," NEFT")</f>
        <v> NEFT</v>
      </c>
      <c r="G23" s="3" t="str">
        <f>IFERROR(__xludf.DUMMYFUNCTION("""COMPUTED_VALUE"""),"Instagram &amp;")</f>
        <v>Instagram &amp;</v>
      </c>
      <c r="H23" s="3">
        <f>IFERROR(__xludf.DUMMYFUNCTION("""COMPUTED_VALUE"""),2.0221024E7)</f>
        <v>20221024</v>
      </c>
      <c r="I23" s="3" t="str">
        <f>IFERROR(__xludf.DUMMYFUNCTION("""COMPUTED_VALUE"""),"Visitrajasthan")</f>
        <v>Visitrajasthan</v>
      </c>
      <c r="J23" s="3">
        <f>IFERROR(__xludf.DUMMYFUNCTION("""COMPUTED_VALUE"""),4564.0)</f>
        <v>4564</v>
      </c>
      <c r="K23" s="3" t="str">
        <f t="shared" ref="K23:L23" si="27">TRIM(F23)</f>
        <v>NEFT</v>
      </c>
      <c r="L23" s="3" t="str">
        <f t="shared" si="27"/>
        <v>Instagram &amp;</v>
      </c>
      <c r="M23" s="3" t="str">
        <f t="shared" si="3"/>
        <v>Instagram &amp;</v>
      </c>
      <c r="N23" s="3" t="str">
        <f>IFERROR(__xludf.DUMMYFUNCTION("SPLIT(M23,""&amp;"")"),"Instagram ")</f>
        <v>Instagram </v>
      </c>
      <c r="O23" s="3" t="str">
        <f t="shared" si="4"/>
        <v>Instagram</v>
      </c>
      <c r="P23" s="3" t="str">
        <f t="shared" si="5"/>
        <v>Visitrajasthan</v>
      </c>
      <c r="Q23" s="3" t="str">
        <f t="shared" si="6"/>
        <v>Visitrajasthan</v>
      </c>
      <c r="R23" s="3">
        <f t="shared" si="7"/>
        <v>4564</v>
      </c>
    </row>
    <row r="24">
      <c r="A24" s="7" t="s">
        <v>53</v>
      </c>
      <c r="B24" s="8" t="s">
        <v>6</v>
      </c>
      <c r="C24" s="8">
        <v>62500.0</v>
      </c>
      <c r="E24" s="3" t="str">
        <f>IFERROR(__xludf.DUMMYFUNCTION("SPLIT(A24,""|"")")," VfS/YouTube/20221009/visitudaipur/4565 ")</f>
        <v> VfS/YouTube/20221009/visitudaipur/4565 </v>
      </c>
      <c r="F24" s="3" t="str">
        <f>IFERROR(__xludf.DUMMYFUNCTION("SPLIT(E24,""/"")")," VfS")</f>
        <v> VfS</v>
      </c>
      <c r="G24" s="3" t="str">
        <f>IFERROR(__xludf.DUMMYFUNCTION("""COMPUTED_VALUE"""),"YouTube")</f>
        <v>YouTube</v>
      </c>
      <c r="H24" s="3">
        <f>IFERROR(__xludf.DUMMYFUNCTION("""COMPUTED_VALUE"""),2.0221009E7)</f>
        <v>20221009</v>
      </c>
      <c r="I24" s="3" t="str">
        <f>IFERROR(__xludf.DUMMYFUNCTION("""COMPUTED_VALUE"""),"visitudaipur")</f>
        <v>visitudaipur</v>
      </c>
      <c r="J24" s="3">
        <f>IFERROR(__xludf.DUMMYFUNCTION("""COMPUTED_VALUE"""),4565.0)</f>
        <v>4565</v>
      </c>
      <c r="K24" s="3" t="str">
        <f t="shared" ref="K24:L24" si="28">TRIM(F24)</f>
        <v>VfS</v>
      </c>
      <c r="L24" s="3" t="str">
        <f t="shared" si="28"/>
        <v>YouTube</v>
      </c>
      <c r="M24" s="3" t="str">
        <f t="shared" si="3"/>
        <v>Youtube</v>
      </c>
      <c r="N24" s="3" t="str">
        <f>IFERROR(__xludf.DUMMYFUNCTION("SPLIT(M24,""&amp;"")"),"Youtube")</f>
        <v>Youtube</v>
      </c>
      <c r="O24" s="3" t="str">
        <f t="shared" si="4"/>
        <v>Youtube</v>
      </c>
      <c r="P24" s="3" t="str">
        <f t="shared" si="5"/>
        <v>visitudaipur</v>
      </c>
      <c r="Q24" s="3" t="str">
        <f t="shared" si="6"/>
        <v>Visitudaipur</v>
      </c>
      <c r="R24" s="3">
        <f t="shared" si="7"/>
        <v>4565</v>
      </c>
    </row>
    <row r="25">
      <c r="A25" s="7" t="s">
        <v>54</v>
      </c>
      <c r="B25" s="8" t="s">
        <v>6</v>
      </c>
      <c r="C25" s="8">
        <v>19200.0</v>
      </c>
      <c r="E25" s="3" t="str">
        <f>IFERROR(__xludf.DUMMYFUNCTION("SPLIT(A25,""|"")")," VIN/Facebook &amp;/20221023/Visitjodhpur/4566 ")</f>
        <v> VIN/Facebook &amp;/20221023/Visitjodhpur/4566 </v>
      </c>
      <c r="F25" s="3" t="str">
        <f>IFERROR(__xludf.DUMMYFUNCTION("SPLIT(E25,""/"")")," VIN")</f>
        <v> VIN</v>
      </c>
      <c r="G25" s="3" t="str">
        <f>IFERROR(__xludf.DUMMYFUNCTION("""COMPUTED_VALUE"""),"Facebook &amp;")</f>
        <v>Facebook &amp;</v>
      </c>
      <c r="H25" s="3">
        <f>IFERROR(__xludf.DUMMYFUNCTION("""COMPUTED_VALUE"""),2.0221023E7)</f>
        <v>20221023</v>
      </c>
      <c r="I25" s="3" t="str">
        <f>IFERROR(__xludf.DUMMYFUNCTION("""COMPUTED_VALUE"""),"Visitjodhpur")</f>
        <v>Visitjodhpur</v>
      </c>
      <c r="J25" s="3">
        <f>IFERROR(__xludf.DUMMYFUNCTION("""COMPUTED_VALUE"""),4566.0)</f>
        <v>4566</v>
      </c>
      <c r="K25" s="3" t="str">
        <f t="shared" ref="K25:L25" si="29">TRIM(F25)</f>
        <v>VIN</v>
      </c>
      <c r="L25" s="3" t="str">
        <f t="shared" si="29"/>
        <v>Facebook &amp;</v>
      </c>
      <c r="M25" s="3" t="str">
        <f t="shared" si="3"/>
        <v>Facebook &amp;</v>
      </c>
      <c r="N25" s="3" t="str">
        <f>IFERROR(__xludf.DUMMYFUNCTION("SPLIT(M25,""&amp;"")"),"Facebook ")</f>
        <v>Facebook </v>
      </c>
      <c r="O25" s="3" t="str">
        <f t="shared" si="4"/>
        <v>Facebook</v>
      </c>
      <c r="P25" s="3" t="str">
        <f t="shared" si="5"/>
        <v>Visitjodhpur</v>
      </c>
      <c r="Q25" s="3" t="str">
        <f t="shared" si="6"/>
        <v>Visitjodhpur</v>
      </c>
      <c r="R25" s="3">
        <f t="shared" si="7"/>
        <v>4566</v>
      </c>
    </row>
    <row r="26">
      <c r="A26" s="7" t="s">
        <v>55</v>
      </c>
      <c r="B26" s="8" t="s">
        <v>19</v>
      </c>
      <c r="C26" s="8">
        <v>63400.0</v>
      </c>
      <c r="E26" s="3" t="str">
        <f>IFERROR(__xludf.DUMMYFUNCTION("SPLIT(A26,""|"")")," CHQ/Facebook/20221107/Visitjaipur/5676 ")</f>
        <v> CHQ/Facebook/20221107/Visitjaipur/5676 </v>
      </c>
      <c r="F26" s="3" t="str">
        <f>IFERROR(__xludf.DUMMYFUNCTION("SPLIT(E26,""/"")")," CHQ")</f>
        <v> CHQ</v>
      </c>
      <c r="G26" s="3" t="str">
        <f>IFERROR(__xludf.DUMMYFUNCTION("""COMPUTED_VALUE"""),"Facebook")</f>
        <v>Facebook</v>
      </c>
      <c r="H26" s="3">
        <f>IFERROR(__xludf.DUMMYFUNCTION("""COMPUTED_VALUE"""),2.0221107E7)</f>
        <v>20221107</v>
      </c>
      <c r="I26" s="3" t="str">
        <f>IFERROR(__xludf.DUMMYFUNCTION("""COMPUTED_VALUE"""),"Visitjaipur")</f>
        <v>Visitjaipur</v>
      </c>
      <c r="J26" s="3">
        <f>IFERROR(__xludf.DUMMYFUNCTION("""COMPUTED_VALUE"""),5676.0)</f>
        <v>5676</v>
      </c>
      <c r="K26" s="3" t="str">
        <f t="shared" ref="K26:L26" si="30">TRIM(F26)</f>
        <v>CHQ</v>
      </c>
      <c r="L26" s="3" t="str">
        <f t="shared" si="30"/>
        <v>Facebook</v>
      </c>
      <c r="M26" s="3" t="str">
        <f t="shared" si="3"/>
        <v>Facebook</v>
      </c>
      <c r="N26" s="3" t="str">
        <f>IFERROR(__xludf.DUMMYFUNCTION("SPLIT(M26,""&amp;"")"),"Facebook")</f>
        <v>Facebook</v>
      </c>
      <c r="O26" s="3" t="str">
        <f t="shared" si="4"/>
        <v>Facebook</v>
      </c>
      <c r="P26" s="3" t="str">
        <f t="shared" si="5"/>
        <v>Visitjaipur</v>
      </c>
      <c r="Q26" s="3" t="str">
        <f t="shared" si="6"/>
        <v>Visitjaipur</v>
      </c>
      <c r="R26" s="3">
        <f t="shared" si="7"/>
        <v>5676</v>
      </c>
    </row>
    <row r="27">
      <c r="A27" s="7" t="s">
        <v>56</v>
      </c>
      <c r="B27" s="8" t="s">
        <v>19</v>
      </c>
      <c r="C27" s="8">
        <v>92100.0</v>
      </c>
      <c r="E27" s="3" t="str">
        <f>IFERROR(__xludf.DUMMYFUNCTION("SPLIT(A27,""|"")")," VfS/YouTube/20221121/Visitrajasthan/4564 ")</f>
        <v> VfS/YouTube/20221121/Visitrajasthan/4564 </v>
      </c>
      <c r="F27" s="3" t="str">
        <f>IFERROR(__xludf.DUMMYFUNCTION("SPLIT(E27,""/"")")," VfS")</f>
        <v> VfS</v>
      </c>
      <c r="G27" s="3" t="str">
        <f>IFERROR(__xludf.DUMMYFUNCTION("""COMPUTED_VALUE"""),"YouTube")</f>
        <v>YouTube</v>
      </c>
      <c r="H27" s="3">
        <f>IFERROR(__xludf.DUMMYFUNCTION("""COMPUTED_VALUE"""),2.0221121E7)</f>
        <v>20221121</v>
      </c>
      <c r="I27" s="3" t="str">
        <f>IFERROR(__xludf.DUMMYFUNCTION("""COMPUTED_VALUE"""),"Visitrajasthan")</f>
        <v>Visitrajasthan</v>
      </c>
      <c r="J27" s="3">
        <f>IFERROR(__xludf.DUMMYFUNCTION("""COMPUTED_VALUE"""),4564.0)</f>
        <v>4564</v>
      </c>
      <c r="K27" s="3" t="str">
        <f t="shared" ref="K27:L27" si="31">TRIM(F27)</f>
        <v>VfS</v>
      </c>
      <c r="L27" s="3" t="str">
        <f t="shared" si="31"/>
        <v>YouTube</v>
      </c>
      <c r="M27" s="3" t="str">
        <f t="shared" si="3"/>
        <v>Youtube</v>
      </c>
      <c r="N27" s="3" t="str">
        <f>IFERROR(__xludf.DUMMYFUNCTION("SPLIT(M27,""&amp;"")"),"Youtube")</f>
        <v>Youtube</v>
      </c>
      <c r="O27" s="3" t="str">
        <f t="shared" si="4"/>
        <v>Youtube</v>
      </c>
      <c r="P27" s="3" t="str">
        <f t="shared" si="5"/>
        <v>Visitrajasthan</v>
      </c>
      <c r="Q27" s="3" t="str">
        <f t="shared" si="6"/>
        <v>Visitrajasthan</v>
      </c>
      <c r="R27" s="3">
        <f t="shared" si="7"/>
        <v>4564</v>
      </c>
    </row>
    <row r="28">
      <c r="A28" s="7" t="s">
        <v>57</v>
      </c>
      <c r="B28" s="8" t="s">
        <v>19</v>
      </c>
      <c r="C28" s="8">
        <v>95100.0</v>
      </c>
      <c r="E28" s="3" t="str">
        <f>IFERROR(__xludf.DUMMYFUNCTION("SPLIT(A28,""|"")")," NEFT/Instagram/20221124/visitudaipur/4565 ")</f>
        <v> NEFT/Instagram/20221124/visitudaipur/4565 </v>
      </c>
      <c r="F28" s="3" t="str">
        <f>IFERROR(__xludf.DUMMYFUNCTION("SPLIT(E28,""/"")")," NEFT")</f>
        <v> NEFT</v>
      </c>
      <c r="G28" s="3" t="str">
        <f>IFERROR(__xludf.DUMMYFUNCTION("""COMPUTED_VALUE"""),"Instagram")</f>
        <v>Instagram</v>
      </c>
      <c r="H28" s="3">
        <f>IFERROR(__xludf.DUMMYFUNCTION("""COMPUTED_VALUE"""),2.0221124E7)</f>
        <v>20221124</v>
      </c>
      <c r="I28" s="3" t="str">
        <f>IFERROR(__xludf.DUMMYFUNCTION("""COMPUTED_VALUE"""),"visitudaipur")</f>
        <v>visitudaipur</v>
      </c>
      <c r="J28" s="3">
        <f>IFERROR(__xludf.DUMMYFUNCTION("""COMPUTED_VALUE"""),4565.0)</f>
        <v>4565</v>
      </c>
      <c r="K28" s="3" t="str">
        <f t="shared" ref="K28:L28" si="32">TRIM(F28)</f>
        <v>NEFT</v>
      </c>
      <c r="L28" s="3" t="str">
        <f t="shared" si="32"/>
        <v>Instagram</v>
      </c>
      <c r="M28" s="3" t="str">
        <f t="shared" si="3"/>
        <v>Instagram</v>
      </c>
      <c r="N28" s="3" t="str">
        <f>IFERROR(__xludf.DUMMYFUNCTION("SPLIT(M28,""&amp;"")"),"Instagram")</f>
        <v>Instagram</v>
      </c>
      <c r="O28" s="3" t="str">
        <f t="shared" si="4"/>
        <v>Instagram</v>
      </c>
      <c r="P28" s="3" t="str">
        <f t="shared" si="5"/>
        <v>visitudaipur</v>
      </c>
      <c r="Q28" s="3" t="str">
        <f t="shared" si="6"/>
        <v>Visitudaipur</v>
      </c>
      <c r="R28" s="3">
        <f t="shared" si="7"/>
        <v>4565</v>
      </c>
    </row>
    <row r="29">
      <c r="A29" s="7" t="s">
        <v>58</v>
      </c>
      <c r="B29" s="8" t="s">
        <v>6</v>
      </c>
      <c r="C29" s="8">
        <v>12800.0</v>
      </c>
      <c r="E29" s="3" t="str">
        <f>IFERROR(__xludf.DUMMYFUNCTION("SPLIT(A29,""|"")")," CHQ/Google Ads &amp;/20221007/Visitjodhpur/4566 ")</f>
        <v> CHQ/Google Ads &amp;/20221007/Visitjodhpur/4566 </v>
      </c>
      <c r="F29" s="3" t="str">
        <f>IFERROR(__xludf.DUMMYFUNCTION("SPLIT(E29,""/"")")," CHQ")</f>
        <v> CHQ</v>
      </c>
      <c r="G29" s="3" t="str">
        <f>IFERROR(__xludf.DUMMYFUNCTION("""COMPUTED_VALUE"""),"Google Ads &amp;")</f>
        <v>Google Ads &amp;</v>
      </c>
      <c r="H29" s="3">
        <f>IFERROR(__xludf.DUMMYFUNCTION("""COMPUTED_VALUE"""),2.0221007E7)</f>
        <v>20221007</v>
      </c>
      <c r="I29" s="3" t="str">
        <f>IFERROR(__xludf.DUMMYFUNCTION("""COMPUTED_VALUE"""),"Visitjodhpur")</f>
        <v>Visitjodhpur</v>
      </c>
      <c r="J29" s="3">
        <f>IFERROR(__xludf.DUMMYFUNCTION("""COMPUTED_VALUE"""),4566.0)</f>
        <v>4566</v>
      </c>
      <c r="K29" s="3" t="str">
        <f t="shared" ref="K29:L29" si="33">TRIM(F29)</f>
        <v>CHQ</v>
      </c>
      <c r="L29" s="3" t="str">
        <f t="shared" si="33"/>
        <v>Google Ads &amp;</v>
      </c>
      <c r="M29" s="3" t="str">
        <f t="shared" si="3"/>
        <v>Google Ads &amp;</v>
      </c>
      <c r="N29" s="3" t="str">
        <f>IFERROR(__xludf.DUMMYFUNCTION("SPLIT(M29,""&amp;"")"),"Google Ads ")</f>
        <v>Google Ads </v>
      </c>
      <c r="O29" s="3" t="str">
        <f t="shared" si="4"/>
        <v>Google Ads</v>
      </c>
      <c r="P29" s="3" t="str">
        <f t="shared" si="5"/>
        <v>Visitjodhpur</v>
      </c>
      <c r="Q29" s="3" t="str">
        <f t="shared" si="6"/>
        <v>Visitjodhpur</v>
      </c>
      <c r="R29" s="3">
        <f t="shared" si="7"/>
        <v>4566</v>
      </c>
    </row>
    <row r="30">
      <c r="A30" s="7" t="s">
        <v>59</v>
      </c>
      <c r="B30" s="8" t="s">
        <v>20</v>
      </c>
      <c r="C30" s="8">
        <v>48300.0</v>
      </c>
      <c r="E30" s="3" t="str">
        <f>IFERROR(__xludf.DUMMYFUNCTION("SPLIT(A30,""|"")")," VfS/Google Ads/20221212/visitJaisalmer/3455 ")</f>
        <v> VfS/Google Ads/20221212/visitJaisalmer/3455 </v>
      </c>
      <c r="F30" s="3" t="str">
        <f>IFERROR(__xludf.DUMMYFUNCTION("SPLIT(E30,""/"")")," VfS")</f>
        <v> VfS</v>
      </c>
      <c r="G30" s="3" t="str">
        <f>IFERROR(__xludf.DUMMYFUNCTION("""COMPUTED_VALUE"""),"Google Ads")</f>
        <v>Google Ads</v>
      </c>
      <c r="H30" s="3">
        <f>IFERROR(__xludf.DUMMYFUNCTION("""COMPUTED_VALUE"""),2.0221212E7)</f>
        <v>20221212</v>
      </c>
      <c r="I30" s="3" t="str">
        <f>IFERROR(__xludf.DUMMYFUNCTION("""COMPUTED_VALUE"""),"visitJaisalmer")</f>
        <v>visitJaisalmer</v>
      </c>
      <c r="J30" s="3">
        <f>IFERROR(__xludf.DUMMYFUNCTION("""COMPUTED_VALUE"""),3455.0)</f>
        <v>3455</v>
      </c>
      <c r="K30" s="3" t="str">
        <f t="shared" ref="K30:L30" si="34">TRIM(F30)</f>
        <v>VfS</v>
      </c>
      <c r="L30" s="3" t="str">
        <f t="shared" si="34"/>
        <v>Google Ads</v>
      </c>
      <c r="M30" s="3" t="str">
        <f t="shared" si="3"/>
        <v>Google Ads</v>
      </c>
      <c r="N30" s="3" t="str">
        <f>IFERROR(__xludf.DUMMYFUNCTION("SPLIT(M30,""&amp;"")"),"Google Ads")</f>
        <v>Google Ads</v>
      </c>
      <c r="O30" s="3" t="str">
        <f t="shared" si="4"/>
        <v>Google Ads</v>
      </c>
      <c r="P30" s="3" t="str">
        <f t="shared" si="5"/>
        <v>visitJaisalmer</v>
      </c>
      <c r="Q30" s="3" t="str">
        <f t="shared" si="6"/>
        <v>Visitjaisalmer</v>
      </c>
      <c r="R30" s="3">
        <f t="shared" si="7"/>
        <v>3455</v>
      </c>
    </row>
    <row r="31">
      <c r="A31" s="10" t="s">
        <v>60</v>
      </c>
      <c r="B31" s="8" t="s">
        <v>6</v>
      </c>
      <c r="C31" s="8">
        <v>19000.0</v>
      </c>
      <c r="E31" s="3" t="str">
        <f>IFERROR(__xludf.DUMMYFUNCTION("SPLIT(A31,""|"")")," VIN/Youtube/20221015/visitbikaner/5666 ")</f>
        <v> VIN/Youtube/20221015/visitbikaner/5666 </v>
      </c>
      <c r="F31" s="3" t="str">
        <f>IFERROR(__xludf.DUMMYFUNCTION("SPLIT(E31,""/"")")," VIN")</f>
        <v> VIN</v>
      </c>
      <c r="G31" s="3" t="str">
        <f>IFERROR(__xludf.DUMMYFUNCTION("""COMPUTED_VALUE"""),"Youtube")</f>
        <v>Youtube</v>
      </c>
      <c r="H31" s="3">
        <f>IFERROR(__xludf.DUMMYFUNCTION("""COMPUTED_VALUE"""),2.0221015E7)</f>
        <v>20221015</v>
      </c>
      <c r="I31" s="3" t="str">
        <f>IFERROR(__xludf.DUMMYFUNCTION("""COMPUTED_VALUE"""),"visitbikaner")</f>
        <v>visitbikaner</v>
      </c>
      <c r="J31" s="3">
        <f>IFERROR(__xludf.DUMMYFUNCTION("""COMPUTED_VALUE"""),5666.0)</f>
        <v>5666</v>
      </c>
      <c r="K31" s="3" t="str">
        <f t="shared" ref="K31:L31" si="35">TRIM(F31)</f>
        <v>VIN</v>
      </c>
      <c r="L31" s="3" t="str">
        <f t="shared" si="35"/>
        <v>Youtube</v>
      </c>
      <c r="M31" s="3" t="str">
        <f t="shared" si="3"/>
        <v>Youtube</v>
      </c>
      <c r="N31" s="3" t="str">
        <f>IFERROR(__xludf.DUMMYFUNCTION("SPLIT(M31,""&amp;"")"),"Youtube")</f>
        <v>Youtube</v>
      </c>
      <c r="O31" s="3" t="str">
        <f t="shared" si="4"/>
        <v>Youtube</v>
      </c>
      <c r="P31" s="3" t="str">
        <f t="shared" si="5"/>
        <v>visitbikaner</v>
      </c>
      <c r="Q31" s="3" t="str">
        <f t="shared" si="6"/>
        <v>Visitbikaner</v>
      </c>
      <c r="R31" s="3">
        <f t="shared" si="7"/>
        <v>5666</v>
      </c>
    </row>
    <row r="32">
      <c r="A32" s="7" t="s">
        <v>61</v>
      </c>
      <c r="B32" s="8" t="s">
        <v>19</v>
      </c>
      <c r="C32" s="8">
        <v>29100.0</v>
      </c>
      <c r="E32" s="3" t="str">
        <f>IFERROR(__xludf.DUMMYFUNCTION("SPLIT(A32,""|"")")," NEFT/Facebook/20221126/Visitjaipur/5676 ")</f>
        <v> NEFT/Facebook/20221126/Visitjaipur/5676 </v>
      </c>
      <c r="F32" s="3" t="str">
        <f>IFERROR(__xludf.DUMMYFUNCTION("SPLIT(E32,""/"")")," NEFT")</f>
        <v> NEFT</v>
      </c>
      <c r="G32" s="3" t="str">
        <f>IFERROR(__xludf.DUMMYFUNCTION("""COMPUTED_VALUE"""),"Facebook")</f>
        <v>Facebook</v>
      </c>
      <c r="H32" s="3">
        <f>IFERROR(__xludf.DUMMYFUNCTION("""COMPUTED_VALUE"""),2.0221126E7)</f>
        <v>20221126</v>
      </c>
      <c r="I32" s="3" t="str">
        <f>IFERROR(__xludf.DUMMYFUNCTION("""COMPUTED_VALUE"""),"Visitjaipur")</f>
        <v>Visitjaipur</v>
      </c>
      <c r="J32" s="3">
        <f>IFERROR(__xludf.DUMMYFUNCTION("""COMPUTED_VALUE"""),5676.0)</f>
        <v>5676</v>
      </c>
      <c r="K32" s="3" t="str">
        <f t="shared" ref="K32:L32" si="36">TRIM(F32)</f>
        <v>NEFT</v>
      </c>
      <c r="L32" s="3" t="str">
        <f t="shared" si="36"/>
        <v>Facebook</v>
      </c>
      <c r="M32" s="3" t="str">
        <f t="shared" si="3"/>
        <v>Facebook</v>
      </c>
      <c r="N32" s="3" t="str">
        <f>IFERROR(__xludf.DUMMYFUNCTION("SPLIT(M32,""&amp;"")"),"Facebook")</f>
        <v>Facebook</v>
      </c>
      <c r="O32" s="3" t="str">
        <f t="shared" si="4"/>
        <v>Facebook</v>
      </c>
      <c r="P32" s="3" t="str">
        <f t="shared" si="5"/>
        <v>Visitjaipur</v>
      </c>
      <c r="Q32" s="3" t="str">
        <f t="shared" si="6"/>
        <v>Visitjaipur</v>
      </c>
      <c r="R32" s="3">
        <f t="shared" si="7"/>
        <v>5676</v>
      </c>
    </row>
    <row r="33">
      <c r="A33" s="7" t="s">
        <v>62</v>
      </c>
      <c r="B33" s="8" t="s">
        <v>20</v>
      </c>
      <c r="C33" s="8">
        <v>25900.0</v>
      </c>
      <c r="E33" s="3" t="str">
        <f>IFERROR(__xludf.DUMMYFUNCTION("SPLIT(A33,""|"")")," CHQ/YouTube &amp;/20221203/Visitrajasthan/4564 ")</f>
        <v> CHQ/YouTube &amp;/20221203/Visitrajasthan/4564 </v>
      </c>
      <c r="F33" s="3" t="str">
        <f>IFERROR(__xludf.DUMMYFUNCTION("SPLIT(E33,""/"")")," CHQ")</f>
        <v> CHQ</v>
      </c>
      <c r="G33" s="3" t="str">
        <f>IFERROR(__xludf.DUMMYFUNCTION("""COMPUTED_VALUE"""),"YouTube &amp;")</f>
        <v>YouTube &amp;</v>
      </c>
      <c r="H33" s="3">
        <f>IFERROR(__xludf.DUMMYFUNCTION("""COMPUTED_VALUE"""),2.0221203E7)</f>
        <v>20221203</v>
      </c>
      <c r="I33" s="3" t="str">
        <f>IFERROR(__xludf.DUMMYFUNCTION("""COMPUTED_VALUE"""),"Visitrajasthan")</f>
        <v>Visitrajasthan</v>
      </c>
      <c r="J33" s="3">
        <f>IFERROR(__xludf.DUMMYFUNCTION("""COMPUTED_VALUE"""),4564.0)</f>
        <v>4564</v>
      </c>
      <c r="K33" s="3" t="str">
        <f t="shared" ref="K33:L33" si="37">TRIM(F33)</f>
        <v>CHQ</v>
      </c>
      <c r="L33" s="3" t="str">
        <f t="shared" si="37"/>
        <v>YouTube &amp;</v>
      </c>
      <c r="M33" s="3" t="str">
        <f t="shared" si="3"/>
        <v>Youtube &amp;</v>
      </c>
      <c r="N33" s="3" t="str">
        <f>IFERROR(__xludf.DUMMYFUNCTION("SPLIT(M33,""&amp;"")"),"Youtube ")</f>
        <v>Youtube </v>
      </c>
      <c r="O33" s="3" t="str">
        <f t="shared" si="4"/>
        <v>Youtube</v>
      </c>
      <c r="P33" s="3" t="str">
        <f t="shared" si="5"/>
        <v>Visitrajasthan</v>
      </c>
      <c r="Q33" s="3" t="str">
        <f t="shared" si="6"/>
        <v>Visitrajasthan</v>
      </c>
      <c r="R33" s="3">
        <f t="shared" si="7"/>
        <v>4564</v>
      </c>
    </row>
    <row r="34">
      <c r="A34" s="7" t="s">
        <v>63</v>
      </c>
      <c r="B34" s="8" t="s">
        <v>20</v>
      </c>
      <c r="C34" s="8">
        <v>71800.0</v>
      </c>
      <c r="E34" s="3" t="str">
        <f>IFERROR(__xludf.DUMMYFUNCTION("SPLIT(A34,""|"")")," VfS/Instagram/20221218/visitudaipur/4565 ")</f>
        <v> VfS/Instagram/20221218/visitudaipur/4565 </v>
      </c>
      <c r="F34" s="3" t="str">
        <f>IFERROR(__xludf.DUMMYFUNCTION("SPLIT(E34,""/"")")," VfS")</f>
        <v> VfS</v>
      </c>
      <c r="G34" s="3" t="str">
        <f>IFERROR(__xludf.DUMMYFUNCTION("""COMPUTED_VALUE"""),"Instagram")</f>
        <v>Instagram</v>
      </c>
      <c r="H34" s="3">
        <f>IFERROR(__xludf.DUMMYFUNCTION("""COMPUTED_VALUE"""),2.0221218E7)</f>
        <v>20221218</v>
      </c>
      <c r="I34" s="3" t="str">
        <f>IFERROR(__xludf.DUMMYFUNCTION("""COMPUTED_VALUE"""),"visitudaipur")</f>
        <v>visitudaipur</v>
      </c>
      <c r="J34" s="3">
        <f>IFERROR(__xludf.DUMMYFUNCTION("""COMPUTED_VALUE"""),4565.0)</f>
        <v>4565</v>
      </c>
      <c r="K34" s="3" t="str">
        <f t="shared" ref="K34:L34" si="38">TRIM(F34)</f>
        <v>VfS</v>
      </c>
      <c r="L34" s="3" t="str">
        <f t="shared" si="38"/>
        <v>Instagram</v>
      </c>
      <c r="M34" s="3" t="str">
        <f t="shared" si="3"/>
        <v>Instagram</v>
      </c>
      <c r="N34" s="3" t="str">
        <f>IFERROR(__xludf.DUMMYFUNCTION("SPLIT(M34,""&amp;"")"),"Instagram")</f>
        <v>Instagram</v>
      </c>
      <c r="O34" s="3" t="str">
        <f t="shared" si="4"/>
        <v>Instagram</v>
      </c>
      <c r="P34" s="3" t="str">
        <f t="shared" si="5"/>
        <v>visitudaipur</v>
      </c>
      <c r="Q34" s="3" t="str">
        <f t="shared" si="6"/>
        <v>Visitudaipur</v>
      </c>
      <c r="R34" s="3">
        <f t="shared" si="7"/>
        <v>4565</v>
      </c>
    </row>
    <row r="35">
      <c r="A35" s="7" t="s">
        <v>64</v>
      </c>
      <c r="B35" s="8" t="s">
        <v>20</v>
      </c>
      <c r="C35" s="8">
        <v>46800.0</v>
      </c>
      <c r="E35" s="3" t="str">
        <f>IFERROR(__xludf.DUMMYFUNCTION("SPLIT(A35,""|"")")," VIN/OfflINe &amp;/20221214/Visitjodhpur/4566 ")</f>
        <v> VIN/OfflINe &amp;/20221214/Visitjodhpur/4566 </v>
      </c>
      <c r="F35" s="3" t="str">
        <f>IFERROR(__xludf.DUMMYFUNCTION("SPLIT(E35,""/"")")," VIN")</f>
        <v> VIN</v>
      </c>
      <c r="G35" s="3" t="str">
        <f>IFERROR(__xludf.DUMMYFUNCTION("""COMPUTED_VALUE"""),"OfflINe &amp;")</f>
        <v>OfflINe &amp;</v>
      </c>
      <c r="H35" s="3">
        <f>IFERROR(__xludf.DUMMYFUNCTION("""COMPUTED_VALUE"""),2.0221214E7)</f>
        <v>20221214</v>
      </c>
      <c r="I35" s="3" t="str">
        <f>IFERROR(__xludf.DUMMYFUNCTION("""COMPUTED_VALUE"""),"Visitjodhpur")</f>
        <v>Visitjodhpur</v>
      </c>
      <c r="J35" s="3">
        <f>IFERROR(__xludf.DUMMYFUNCTION("""COMPUTED_VALUE"""),4566.0)</f>
        <v>4566</v>
      </c>
      <c r="K35" s="3" t="str">
        <f t="shared" ref="K35:L35" si="39">TRIM(F35)</f>
        <v>VIN</v>
      </c>
      <c r="L35" s="3" t="str">
        <f t="shared" si="39"/>
        <v>OfflINe &amp;</v>
      </c>
      <c r="M35" s="3" t="str">
        <f t="shared" si="3"/>
        <v>Offline &amp;</v>
      </c>
      <c r="N35" s="3" t="str">
        <f>IFERROR(__xludf.DUMMYFUNCTION("SPLIT(M35,""&amp;"")"),"Offline ")</f>
        <v>Offline </v>
      </c>
      <c r="O35" s="3" t="str">
        <f t="shared" si="4"/>
        <v>Offline</v>
      </c>
      <c r="P35" s="3" t="str">
        <f t="shared" si="5"/>
        <v>Visitjodhpur</v>
      </c>
      <c r="Q35" s="3" t="str">
        <f t="shared" si="6"/>
        <v>Visitjodhpur</v>
      </c>
      <c r="R35" s="3">
        <f t="shared" si="7"/>
        <v>4566</v>
      </c>
    </row>
    <row r="36">
      <c r="A36" s="7" t="s">
        <v>65</v>
      </c>
      <c r="B36" s="8" t="s">
        <v>6</v>
      </c>
      <c r="C36" s="8">
        <v>49200.0</v>
      </c>
      <c r="E36" s="3" t="str">
        <f>IFERROR(__xludf.DUMMYFUNCTION("SPLIT(A36,""|"")")," VfS/Facebook/20221010/Visitjaipur/5676 ")</f>
        <v> VfS/Facebook/20221010/Visitjaipur/5676 </v>
      </c>
      <c r="F36" s="3" t="str">
        <f>IFERROR(__xludf.DUMMYFUNCTION("SPLIT(E36,""/"")")," VfS")</f>
        <v> VfS</v>
      </c>
      <c r="G36" s="3" t="str">
        <f>IFERROR(__xludf.DUMMYFUNCTION("""COMPUTED_VALUE"""),"Facebook")</f>
        <v>Facebook</v>
      </c>
      <c r="H36" s="3">
        <f>IFERROR(__xludf.DUMMYFUNCTION("""COMPUTED_VALUE"""),2.022101E7)</f>
        <v>20221010</v>
      </c>
      <c r="I36" s="3" t="str">
        <f>IFERROR(__xludf.DUMMYFUNCTION("""COMPUTED_VALUE"""),"Visitjaipur")</f>
        <v>Visitjaipur</v>
      </c>
      <c r="J36" s="3">
        <f>IFERROR(__xludf.DUMMYFUNCTION("""COMPUTED_VALUE"""),5676.0)</f>
        <v>5676</v>
      </c>
      <c r="K36" s="3" t="str">
        <f t="shared" ref="K36:L36" si="40">TRIM(F36)</f>
        <v>VfS</v>
      </c>
      <c r="L36" s="3" t="str">
        <f t="shared" si="40"/>
        <v>Facebook</v>
      </c>
      <c r="M36" s="3" t="str">
        <f t="shared" si="3"/>
        <v>Facebook</v>
      </c>
      <c r="N36" s="3" t="str">
        <f>IFERROR(__xludf.DUMMYFUNCTION("SPLIT(M36,""&amp;"")"),"Facebook")</f>
        <v>Facebook</v>
      </c>
      <c r="O36" s="3" t="str">
        <f t="shared" si="4"/>
        <v>Facebook</v>
      </c>
      <c r="P36" s="3" t="str">
        <f t="shared" si="5"/>
        <v>Visitjaipur</v>
      </c>
      <c r="Q36" s="3" t="str">
        <f t="shared" si="6"/>
        <v>Visitjaipur</v>
      </c>
      <c r="R36" s="3">
        <f t="shared" si="7"/>
        <v>5676</v>
      </c>
    </row>
    <row r="37">
      <c r="A37" s="7" t="s">
        <v>66</v>
      </c>
      <c r="B37" s="8" t="s">
        <v>6</v>
      </c>
      <c r="C37" s="8">
        <v>64300.0</v>
      </c>
      <c r="E37" s="3" t="str">
        <f>IFERROR(__xludf.DUMMYFUNCTION("SPLIT(A37,""|"")")," VIN/Offline/20221026/Visitrajasthan/4564 ")</f>
        <v> VIN/Offline/20221026/Visitrajasthan/4564 </v>
      </c>
      <c r="F37" s="3" t="str">
        <f>IFERROR(__xludf.DUMMYFUNCTION("SPLIT(E37,""/"")")," VIN")</f>
        <v> VIN</v>
      </c>
      <c r="G37" s="3" t="str">
        <f>IFERROR(__xludf.DUMMYFUNCTION("""COMPUTED_VALUE"""),"Offline")</f>
        <v>Offline</v>
      </c>
      <c r="H37" s="3">
        <f>IFERROR(__xludf.DUMMYFUNCTION("""COMPUTED_VALUE"""),2.0221026E7)</f>
        <v>20221026</v>
      </c>
      <c r="I37" s="3" t="str">
        <f>IFERROR(__xludf.DUMMYFUNCTION("""COMPUTED_VALUE"""),"Visitrajasthan")</f>
        <v>Visitrajasthan</v>
      </c>
      <c r="J37" s="3">
        <f>IFERROR(__xludf.DUMMYFUNCTION("""COMPUTED_VALUE"""),4564.0)</f>
        <v>4564</v>
      </c>
      <c r="K37" s="3" t="str">
        <f t="shared" ref="K37:L37" si="41">TRIM(F37)</f>
        <v>VIN</v>
      </c>
      <c r="L37" s="3" t="str">
        <f t="shared" si="41"/>
        <v>Offline</v>
      </c>
      <c r="M37" s="3" t="str">
        <f t="shared" si="3"/>
        <v>Offline</v>
      </c>
      <c r="N37" s="3" t="str">
        <f>IFERROR(__xludf.DUMMYFUNCTION("SPLIT(M37,""&amp;"")"),"Offline")</f>
        <v>Offline</v>
      </c>
      <c r="O37" s="3" t="str">
        <f t="shared" si="4"/>
        <v>Offline</v>
      </c>
      <c r="P37" s="3" t="str">
        <f t="shared" si="5"/>
        <v>Visitrajasthan</v>
      </c>
      <c r="Q37" s="3" t="str">
        <f t="shared" si="6"/>
        <v>Visitrajasthan</v>
      </c>
      <c r="R37" s="3">
        <f t="shared" si="7"/>
        <v>4564</v>
      </c>
    </row>
    <row r="38">
      <c r="A38" s="7" t="s">
        <v>67</v>
      </c>
      <c r="B38" s="8" t="s">
        <v>6</v>
      </c>
      <c r="C38" s="8">
        <v>51300.0</v>
      </c>
      <c r="E38" s="3" t="str">
        <f>IFERROR(__xludf.DUMMYFUNCTION("SPLIT(A38,""|"")")," NEFT/Offline/20221030/visitudaipur/4565 ")</f>
        <v> NEFT/Offline/20221030/visitudaipur/4565 </v>
      </c>
      <c r="F38" s="3" t="str">
        <f>IFERROR(__xludf.DUMMYFUNCTION("SPLIT(E38,""/"")")," NEFT")</f>
        <v> NEFT</v>
      </c>
      <c r="G38" s="3" t="str">
        <f>IFERROR(__xludf.DUMMYFUNCTION("""COMPUTED_VALUE"""),"Offline")</f>
        <v>Offline</v>
      </c>
      <c r="H38" s="3">
        <f>IFERROR(__xludf.DUMMYFUNCTION("""COMPUTED_VALUE"""),2.022103E7)</f>
        <v>20221030</v>
      </c>
      <c r="I38" s="3" t="str">
        <f>IFERROR(__xludf.DUMMYFUNCTION("""COMPUTED_VALUE"""),"visitudaipur")</f>
        <v>visitudaipur</v>
      </c>
      <c r="J38" s="3">
        <f>IFERROR(__xludf.DUMMYFUNCTION("""COMPUTED_VALUE"""),4565.0)</f>
        <v>4565</v>
      </c>
      <c r="K38" s="3" t="str">
        <f t="shared" ref="K38:L38" si="42">TRIM(F38)</f>
        <v>NEFT</v>
      </c>
      <c r="L38" s="3" t="str">
        <f t="shared" si="42"/>
        <v>Offline</v>
      </c>
      <c r="M38" s="3" t="str">
        <f t="shared" si="3"/>
        <v>Offline</v>
      </c>
      <c r="N38" s="3" t="str">
        <f>IFERROR(__xludf.DUMMYFUNCTION("SPLIT(M38,""&amp;"")"),"Offline")</f>
        <v>Offline</v>
      </c>
      <c r="O38" s="3" t="str">
        <f t="shared" si="4"/>
        <v>Offline</v>
      </c>
      <c r="P38" s="3" t="str">
        <f t="shared" si="5"/>
        <v>visitudaipur</v>
      </c>
      <c r="Q38" s="3" t="str">
        <f t="shared" si="6"/>
        <v>Visitudaipur</v>
      </c>
      <c r="R38" s="3">
        <f t="shared" si="7"/>
        <v>4565</v>
      </c>
    </row>
    <row r="39">
      <c r="A39" s="7" t="s">
        <v>68</v>
      </c>
      <c r="B39" s="8" t="s">
        <v>6</v>
      </c>
      <c r="C39" s="8">
        <v>56300.0</v>
      </c>
      <c r="E39" s="3" t="str">
        <f>IFERROR(__xludf.DUMMYFUNCTION("SPLIT(A39,""|"")")," CHQ/Offline &amp;/20221015/Visitjodhpur/4566 ")</f>
        <v> CHQ/Offline &amp;/20221015/Visitjodhpur/4566 </v>
      </c>
      <c r="F39" s="3" t="str">
        <f>IFERROR(__xludf.DUMMYFUNCTION("SPLIT(E39,""/"")")," CHQ")</f>
        <v> CHQ</v>
      </c>
      <c r="G39" s="3" t="str">
        <f>IFERROR(__xludf.DUMMYFUNCTION("""COMPUTED_VALUE"""),"Offline &amp;")</f>
        <v>Offline &amp;</v>
      </c>
      <c r="H39" s="3">
        <f>IFERROR(__xludf.DUMMYFUNCTION("""COMPUTED_VALUE"""),2.0221015E7)</f>
        <v>20221015</v>
      </c>
      <c r="I39" s="3" t="str">
        <f>IFERROR(__xludf.DUMMYFUNCTION("""COMPUTED_VALUE"""),"Visitjodhpur")</f>
        <v>Visitjodhpur</v>
      </c>
      <c r="J39" s="3">
        <f>IFERROR(__xludf.DUMMYFUNCTION("""COMPUTED_VALUE"""),4566.0)</f>
        <v>4566</v>
      </c>
      <c r="K39" s="3" t="str">
        <f t="shared" ref="K39:L39" si="43">TRIM(F39)</f>
        <v>CHQ</v>
      </c>
      <c r="L39" s="3" t="str">
        <f t="shared" si="43"/>
        <v>Offline &amp;</v>
      </c>
      <c r="M39" s="3" t="str">
        <f t="shared" si="3"/>
        <v>Offline &amp;</v>
      </c>
      <c r="N39" s="3" t="str">
        <f>IFERROR(__xludf.DUMMYFUNCTION("SPLIT(M39,""&amp;"")"),"Offline ")</f>
        <v>Offline </v>
      </c>
      <c r="O39" s="3" t="str">
        <f t="shared" si="4"/>
        <v>Offline</v>
      </c>
      <c r="P39" s="3" t="str">
        <f t="shared" si="5"/>
        <v>Visitjodhpur</v>
      </c>
      <c r="Q39" s="3" t="str">
        <f t="shared" si="6"/>
        <v>Visitjodhpur</v>
      </c>
      <c r="R39" s="3">
        <f t="shared" si="7"/>
        <v>4566</v>
      </c>
    </row>
    <row r="40">
      <c r="A40" s="7" t="s">
        <v>69</v>
      </c>
      <c r="B40" s="8" t="s">
        <v>19</v>
      </c>
      <c r="C40" s="8">
        <v>81000.0</v>
      </c>
      <c r="E40" s="3" t="str">
        <f>IFERROR(__xludf.DUMMYFUNCTION("SPLIT(A40,""|"")")," VfS/Google Ads/20221121/visitJaisalmer/3455 ")</f>
        <v> VfS/Google Ads/20221121/visitJaisalmer/3455 </v>
      </c>
      <c r="F40" s="3" t="str">
        <f>IFERROR(__xludf.DUMMYFUNCTION("SPLIT(E40,""/"")")," VfS")</f>
        <v> VfS</v>
      </c>
      <c r="G40" s="3" t="str">
        <f>IFERROR(__xludf.DUMMYFUNCTION("""COMPUTED_VALUE"""),"Google Ads")</f>
        <v>Google Ads</v>
      </c>
      <c r="H40" s="3">
        <f>IFERROR(__xludf.DUMMYFUNCTION("""COMPUTED_VALUE"""),2.0221121E7)</f>
        <v>20221121</v>
      </c>
      <c r="I40" s="3" t="str">
        <f>IFERROR(__xludf.DUMMYFUNCTION("""COMPUTED_VALUE"""),"visitJaisalmer")</f>
        <v>visitJaisalmer</v>
      </c>
      <c r="J40" s="3">
        <f>IFERROR(__xludf.DUMMYFUNCTION("""COMPUTED_VALUE"""),3455.0)</f>
        <v>3455</v>
      </c>
      <c r="K40" s="3" t="str">
        <f t="shared" ref="K40:L40" si="44">TRIM(F40)</f>
        <v>VfS</v>
      </c>
      <c r="L40" s="3" t="str">
        <f t="shared" si="44"/>
        <v>Google Ads</v>
      </c>
      <c r="M40" s="3" t="str">
        <f t="shared" si="3"/>
        <v>Google Ads</v>
      </c>
      <c r="N40" s="3" t="str">
        <f>IFERROR(__xludf.DUMMYFUNCTION("SPLIT(M40,""&amp;"")"),"Google Ads")</f>
        <v>Google Ads</v>
      </c>
      <c r="O40" s="3" t="str">
        <f t="shared" si="4"/>
        <v>Google Ads</v>
      </c>
      <c r="P40" s="3" t="str">
        <f t="shared" si="5"/>
        <v>visitJaisalmer</v>
      </c>
      <c r="Q40" s="3" t="str">
        <f t="shared" si="6"/>
        <v>Visitjaisalmer</v>
      </c>
      <c r="R40" s="3">
        <f t="shared" si="7"/>
        <v>3455</v>
      </c>
    </row>
    <row r="41">
      <c r="A41" s="7" t="s">
        <v>70</v>
      </c>
      <c r="B41" s="8" t="s">
        <v>6</v>
      </c>
      <c r="C41" s="8">
        <v>64400.0</v>
      </c>
      <c r="E41" s="3" t="str">
        <f>IFERROR(__xludf.DUMMYFUNCTION("SPLIT(A41,""|"")")," VIN/Instagram/20221028/visitbikaner/5666 ")</f>
        <v> VIN/Instagram/20221028/visitbikaner/5666 </v>
      </c>
      <c r="F41" s="3" t="str">
        <f>IFERROR(__xludf.DUMMYFUNCTION("SPLIT(E41,""/"")")," VIN")</f>
        <v> VIN</v>
      </c>
      <c r="G41" s="3" t="str">
        <f>IFERROR(__xludf.DUMMYFUNCTION("""COMPUTED_VALUE"""),"Instagram")</f>
        <v>Instagram</v>
      </c>
      <c r="H41" s="3">
        <f>IFERROR(__xludf.DUMMYFUNCTION("""COMPUTED_VALUE"""),2.0221028E7)</f>
        <v>20221028</v>
      </c>
      <c r="I41" s="3" t="str">
        <f>IFERROR(__xludf.DUMMYFUNCTION("""COMPUTED_VALUE"""),"visitbikaner")</f>
        <v>visitbikaner</v>
      </c>
      <c r="J41" s="3">
        <f>IFERROR(__xludf.DUMMYFUNCTION("""COMPUTED_VALUE"""),5666.0)</f>
        <v>5666</v>
      </c>
      <c r="K41" s="3" t="str">
        <f t="shared" ref="K41:L41" si="45">TRIM(F41)</f>
        <v>VIN</v>
      </c>
      <c r="L41" s="3" t="str">
        <f t="shared" si="45"/>
        <v>Instagram</v>
      </c>
      <c r="M41" s="3" t="str">
        <f t="shared" si="3"/>
        <v>Instagram</v>
      </c>
      <c r="N41" s="3" t="str">
        <f>IFERROR(__xludf.DUMMYFUNCTION("SPLIT(M41,""&amp;"")"),"Instagram")</f>
        <v>Instagram</v>
      </c>
      <c r="O41" s="3" t="str">
        <f t="shared" si="4"/>
        <v>Instagram</v>
      </c>
      <c r="P41" s="3" t="str">
        <f t="shared" si="5"/>
        <v>visitbikaner</v>
      </c>
      <c r="Q41" s="3" t="str">
        <f t="shared" si="6"/>
        <v>Visitbikaner</v>
      </c>
      <c r="R41" s="3">
        <f t="shared" si="7"/>
        <v>5666</v>
      </c>
    </row>
    <row r="42">
      <c r="A42" s="7" t="s">
        <v>71</v>
      </c>
      <c r="B42" s="8" t="s">
        <v>19</v>
      </c>
      <c r="C42" s="8">
        <v>97800.0</v>
      </c>
      <c r="E42" s="3" t="str">
        <f>IFERROR(__xludf.DUMMYFUNCTION("SPLIT(A42,""|"")")," NEFT/Facebook/20221101/Visitjaipur/5676 ")</f>
        <v> NEFT/Facebook/20221101/Visitjaipur/5676 </v>
      </c>
      <c r="F42" s="3" t="str">
        <f>IFERROR(__xludf.DUMMYFUNCTION("SPLIT(E42,""/"")")," NEFT")</f>
        <v> NEFT</v>
      </c>
      <c r="G42" s="3" t="str">
        <f>IFERROR(__xludf.DUMMYFUNCTION("""COMPUTED_VALUE"""),"Facebook")</f>
        <v>Facebook</v>
      </c>
      <c r="H42" s="3">
        <f>IFERROR(__xludf.DUMMYFUNCTION("""COMPUTED_VALUE"""),2.0221101E7)</f>
        <v>20221101</v>
      </c>
      <c r="I42" s="3" t="str">
        <f>IFERROR(__xludf.DUMMYFUNCTION("""COMPUTED_VALUE"""),"Visitjaipur")</f>
        <v>Visitjaipur</v>
      </c>
      <c r="J42" s="3">
        <f>IFERROR(__xludf.DUMMYFUNCTION("""COMPUTED_VALUE"""),5676.0)</f>
        <v>5676</v>
      </c>
      <c r="K42" s="3" t="str">
        <f t="shared" ref="K42:L42" si="46">TRIM(F42)</f>
        <v>NEFT</v>
      </c>
      <c r="L42" s="3" t="str">
        <f t="shared" si="46"/>
        <v>Facebook</v>
      </c>
      <c r="M42" s="3" t="str">
        <f t="shared" si="3"/>
        <v>Facebook</v>
      </c>
      <c r="N42" s="3" t="str">
        <f>IFERROR(__xludf.DUMMYFUNCTION("SPLIT(M42,""&amp;"")"),"Facebook")</f>
        <v>Facebook</v>
      </c>
      <c r="O42" s="3" t="str">
        <f t="shared" si="4"/>
        <v>Facebook</v>
      </c>
      <c r="P42" s="3" t="str">
        <f t="shared" si="5"/>
        <v>Visitjaipur</v>
      </c>
      <c r="Q42" s="3" t="str">
        <f t="shared" si="6"/>
        <v>Visitjaipur</v>
      </c>
      <c r="R42" s="3">
        <f t="shared" si="7"/>
        <v>5676</v>
      </c>
    </row>
    <row r="43">
      <c r="A43" s="7" t="s">
        <v>72</v>
      </c>
      <c r="B43" s="8" t="s">
        <v>19</v>
      </c>
      <c r="C43" s="8">
        <v>42300.0</v>
      </c>
      <c r="E43" s="3" t="str">
        <f>IFERROR(__xludf.DUMMYFUNCTION("SPLIT(A43,""|"")")," CHQ/YouTube &amp;/20221109/Visitrajasthan/4564 ")</f>
        <v> CHQ/YouTube &amp;/20221109/Visitrajasthan/4564 </v>
      </c>
      <c r="F43" s="3" t="str">
        <f>IFERROR(__xludf.DUMMYFUNCTION("SPLIT(E43,""/"")")," CHQ")</f>
        <v> CHQ</v>
      </c>
      <c r="G43" s="3" t="str">
        <f>IFERROR(__xludf.DUMMYFUNCTION("""COMPUTED_VALUE"""),"YouTube &amp;")</f>
        <v>YouTube &amp;</v>
      </c>
      <c r="H43" s="3">
        <f>IFERROR(__xludf.DUMMYFUNCTION("""COMPUTED_VALUE"""),2.0221109E7)</f>
        <v>20221109</v>
      </c>
      <c r="I43" s="3" t="str">
        <f>IFERROR(__xludf.DUMMYFUNCTION("""COMPUTED_VALUE"""),"Visitrajasthan")</f>
        <v>Visitrajasthan</v>
      </c>
      <c r="J43" s="3">
        <f>IFERROR(__xludf.DUMMYFUNCTION("""COMPUTED_VALUE"""),4564.0)</f>
        <v>4564</v>
      </c>
      <c r="K43" s="3" t="str">
        <f t="shared" ref="K43:L43" si="47">TRIM(F43)</f>
        <v>CHQ</v>
      </c>
      <c r="L43" s="3" t="str">
        <f t="shared" si="47"/>
        <v>YouTube &amp;</v>
      </c>
      <c r="M43" s="3" t="str">
        <f t="shared" si="3"/>
        <v>Youtube &amp;</v>
      </c>
      <c r="N43" s="3" t="str">
        <f>IFERROR(__xludf.DUMMYFUNCTION("SPLIT(M43,""&amp;"")"),"Youtube ")</f>
        <v>Youtube </v>
      </c>
      <c r="O43" s="3" t="str">
        <f t="shared" si="4"/>
        <v>Youtube</v>
      </c>
      <c r="P43" s="3" t="str">
        <f t="shared" si="5"/>
        <v>Visitrajasthan</v>
      </c>
      <c r="Q43" s="3" t="str">
        <f t="shared" si="6"/>
        <v>Visitrajasthan</v>
      </c>
      <c r="R43" s="3">
        <f t="shared" si="7"/>
        <v>4564</v>
      </c>
    </row>
    <row r="44">
      <c r="A44" s="7" t="s">
        <v>73</v>
      </c>
      <c r="B44" s="8" t="s">
        <v>6</v>
      </c>
      <c r="C44" s="8">
        <v>99200.0</v>
      </c>
      <c r="E44" s="3" t="str">
        <f>IFERROR(__xludf.DUMMYFUNCTION("SPLIT(A44,""|"")")," VfS/Twitter/20221023/visitudaipur/4565 ")</f>
        <v> VfS/Twitter/20221023/visitudaipur/4565 </v>
      </c>
      <c r="F44" s="3" t="str">
        <f>IFERROR(__xludf.DUMMYFUNCTION("SPLIT(E44,""/"")")," VfS")</f>
        <v> VfS</v>
      </c>
      <c r="G44" s="3" t="str">
        <f>IFERROR(__xludf.DUMMYFUNCTION("""COMPUTED_VALUE"""),"Twitter")</f>
        <v>Twitter</v>
      </c>
      <c r="H44" s="3">
        <f>IFERROR(__xludf.DUMMYFUNCTION("""COMPUTED_VALUE"""),2.0221023E7)</f>
        <v>20221023</v>
      </c>
      <c r="I44" s="3" t="str">
        <f>IFERROR(__xludf.DUMMYFUNCTION("""COMPUTED_VALUE"""),"visitudaipur")</f>
        <v>visitudaipur</v>
      </c>
      <c r="J44" s="3">
        <f>IFERROR(__xludf.DUMMYFUNCTION("""COMPUTED_VALUE"""),4565.0)</f>
        <v>4565</v>
      </c>
      <c r="K44" s="3" t="str">
        <f t="shared" ref="K44:L44" si="48">TRIM(F44)</f>
        <v>VfS</v>
      </c>
      <c r="L44" s="3" t="str">
        <f t="shared" si="48"/>
        <v>Twitter</v>
      </c>
      <c r="M44" s="3" t="str">
        <f t="shared" si="3"/>
        <v>Twitter</v>
      </c>
      <c r="N44" s="3" t="str">
        <f>IFERROR(__xludf.DUMMYFUNCTION("SPLIT(M44,""&amp;"")"),"Twitter")</f>
        <v>Twitter</v>
      </c>
      <c r="O44" s="3" t="str">
        <f t="shared" si="4"/>
        <v>Twitter</v>
      </c>
      <c r="P44" s="3" t="str">
        <f t="shared" si="5"/>
        <v>visitudaipur</v>
      </c>
      <c r="Q44" s="3" t="str">
        <f t="shared" si="6"/>
        <v>Visitudaipur</v>
      </c>
      <c r="R44" s="3">
        <f t="shared" si="7"/>
        <v>4565</v>
      </c>
    </row>
    <row r="45">
      <c r="A45" s="7" t="s">
        <v>74</v>
      </c>
      <c r="B45" s="8" t="s">
        <v>6</v>
      </c>
      <c r="C45" s="8">
        <v>70900.0</v>
      </c>
      <c r="E45" s="3" t="str">
        <f>IFERROR(__xludf.DUMMYFUNCTION("SPLIT(A45,""|"")")," VIN/Instagram &amp;/20221027/Visitjodhpur/4566 ")</f>
        <v> VIN/Instagram &amp;/20221027/Visitjodhpur/4566 </v>
      </c>
      <c r="F45" s="3" t="str">
        <f>IFERROR(__xludf.DUMMYFUNCTION("SPLIT(E45,""/"")")," VIN")</f>
        <v> VIN</v>
      </c>
      <c r="G45" s="3" t="str">
        <f>IFERROR(__xludf.DUMMYFUNCTION("""COMPUTED_VALUE"""),"Instagram &amp;")</f>
        <v>Instagram &amp;</v>
      </c>
      <c r="H45" s="3">
        <f>IFERROR(__xludf.DUMMYFUNCTION("""COMPUTED_VALUE"""),2.0221027E7)</f>
        <v>20221027</v>
      </c>
      <c r="I45" s="3" t="str">
        <f>IFERROR(__xludf.DUMMYFUNCTION("""COMPUTED_VALUE"""),"Visitjodhpur")</f>
        <v>Visitjodhpur</v>
      </c>
      <c r="J45" s="3">
        <f>IFERROR(__xludf.DUMMYFUNCTION("""COMPUTED_VALUE"""),4566.0)</f>
        <v>4566</v>
      </c>
      <c r="K45" s="3" t="str">
        <f t="shared" ref="K45:L45" si="49">TRIM(F45)</f>
        <v>VIN</v>
      </c>
      <c r="L45" s="3" t="str">
        <f t="shared" si="49"/>
        <v>Instagram &amp;</v>
      </c>
      <c r="M45" s="3" t="str">
        <f t="shared" si="3"/>
        <v>Instagram &amp;</v>
      </c>
      <c r="N45" s="3" t="str">
        <f>IFERROR(__xludf.DUMMYFUNCTION("SPLIT(M45,""&amp;"")"),"Instagram ")</f>
        <v>Instagram </v>
      </c>
      <c r="O45" s="3" t="str">
        <f t="shared" si="4"/>
        <v>Instagram</v>
      </c>
      <c r="P45" s="3" t="str">
        <f t="shared" si="5"/>
        <v>Visitjodhpur</v>
      </c>
      <c r="Q45" s="3" t="str">
        <f t="shared" si="6"/>
        <v>Visitjodhpur</v>
      </c>
      <c r="R45" s="3">
        <f t="shared" si="7"/>
        <v>4566</v>
      </c>
    </row>
    <row r="46">
      <c r="A46" s="7" t="s">
        <v>75</v>
      </c>
      <c r="B46" s="8" t="s">
        <v>20</v>
      </c>
      <c r="C46" s="8">
        <v>47600.0</v>
      </c>
      <c r="E46" s="3" t="str">
        <f>IFERROR(__xludf.DUMMYFUNCTION("SPLIT(A46,""|"")")," CHQ/Facebook/20221214/Visitjaipur/5676 ")</f>
        <v> CHQ/Facebook/20221214/Visitjaipur/5676 </v>
      </c>
      <c r="F46" s="3" t="str">
        <f>IFERROR(__xludf.DUMMYFUNCTION("SPLIT(E46,""/"")")," CHQ")</f>
        <v> CHQ</v>
      </c>
      <c r="G46" s="3" t="str">
        <f>IFERROR(__xludf.DUMMYFUNCTION("""COMPUTED_VALUE"""),"Facebook")</f>
        <v>Facebook</v>
      </c>
      <c r="H46" s="3">
        <f>IFERROR(__xludf.DUMMYFUNCTION("""COMPUTED_VALUE"""),2.0221214E7)</f>
        <v>20221214</v>
      </c>
      <c r="I46" s="3" t="str">
        <f>IFERROR(__xludf.DUMMYFUNCTION("""COMPUTED_VALUE"""),"Visitjaipur")</f>
        <v>Visitjaipur</v>
      </c>
      <c r="J46" s="3">
        <f>IFERROR(__xludf.DUMMYFUNCTION("""COMPUTED_VALUE"""),5676.0)</f>
        <v>5676</v>
      </c>
      <c r="K46" s="3" t="str">
        <f t="shared" ref="K46:L46" si="50">TRIM(F46)</f>
        <v>CHQ</v>
      </c>
      <c r="L46" s="3" t="str">
        <f t="shared" si="50"/>
        <v>Facebook</v>
      </c>
      <c r="M46" s="3" t="str">
        <f t="shared" si="3"/>
        <v>Facebook</v>
      </c>
      <c r="N46" s="3" t="str">
        <f>IFERROR(__xludf.DUMMYFUNCTION("SPLIT(M46,""&amp;"")"),"Facebook")</f>
        <v>Facebook</v>
      </c>
      <c r="O46" s="3" t="str">
        <f t="shared" si="4"/>
        <v>Facebook</v>
      </c>
      <c r="P46" s="3" t="str">
        <f t="shared" si="5"/>
        <v>Visitjaipur</v>
      </c>
      <c r="Q46" s="3" t="str">
        <f t="shared" si="6"/>
        <v>Visitjaipur</v>
      </c>
      <c r="R46" s="3">
        <f t="shared" si="7"/>
        <v>5676</v>
      </c>
    </row>
    <row r="47">
      <c r="A47" s="7" t="s">
        <v>76</v>
      </c>
      <c r="B47" s="8" t="s">
        <v>20</v>
      </c>
      <c r="C47" s="8">
        <v>87100.0</v>
      </c>
      <c r="E47" s="3" t="str">
        <f>IFERROR(__xludf.DUMMYFUNCTION("SPLIT(A47,""|"")")," VfS/YouTube/20221219/Visitrajasthan/4564 ")</f>
        <v> VfS/YouTube/20221219/Visitrajasthan/4564 </v>
      </c>
      <c r="F47" s="3" t="str">
        <f>IFERROR(__xludf.DUMMYFUNCTION("SPLIT(E47,""/"")")," VfS")</f>
        <v> VfS</v>
      </c>
      <c r="G47" s="3" t="str">
        <f>IFERROR(__xludf.DUMMYFUNCTION("""COMPUTED_VALUE"""),"YouTube")</f>
        <v>YouTube</v>
      </c>
      <c r="H47" s="3">
        <f>IFERROR(__xludf.DUMMYFUNCTION("""COMPUTED_VALUE"""),2.0221219E7)</f>
        <v>20221219</v>
      </c>
      <c r="I47" s="3" t="str">
        <f>IFERROR(__xludf.DUMMYFUNCTION("""COMPUTED_VALUE"""),"Visitrajasthan")</f>
        <v>Visitrajasthan</v>
      </c>
      <c r="J47" s="3">
        <f>IFERROR(__xludf.DUMMYFUNCTION("""COMPUTED_VALUE"""),4564.0)</f>
        <v>4564</v>
      </c>
      <c r="K47" s="3" t="str">
        <f t="shared" ref="K47:L47" si="51">TRIM(F47)</f>
        <v>VfS</v>
      </c>
      <c r="L47" s="3" t="str">
        <f t="shared" si="51"/>
        <v>YouTube</v>
      </c>
      <c r="M47" s="3" t="str">
        <f t="shared" si="3"/>
        <v>Youtube</v>
      </c>
      <c r="N47" s="3" t="str">
        <f>IFERROR(__xludf.DUMMYFUNCTION("SPLIT(M47,""&amp;"")"),"Youtube")</f>
        <v>Youtube</v>
      </c>
      <c r="O47" s="3" t="str">
        <f t="shared" si="4"/>
        <v>Youtube</v>
      </c>
      <c r="P47" s="3" t="str">
        <f t="shared" si="5"/>
        <v>Visitrajasthan</v>
      </c>
      <c r="Q47" s="3" t="str">
        <f t="shared" si="6"/>
        <v>Visitrajasthan</v>
      </c>
      <c r="R47" s="3">
        <f t="shared" si="7"/>
        <v>4564</v>
      </c>
    </row>
    <row r="48">
      <c r="A48" s="7" t="s">
        <v>77</v>
      </c>
      <c r="B48" s="8" t="s">
        <v>6</v>
      </c>
      <c r="C48" s="8">
        <v>88400.0</v>
      </c>
      <c r="E48" s="3" t="str">
        <f>IFERROR(__xludf.DUMMYFUNCTION("SPLIT(A48,""|"")")," NEFT/Offline/20221025/visitudaipur/4565 ")</f>
        <v> NEFT/Offline/20221025/visitudaipur/4565 </v>
      </c>
      <c r="F48" s="3" t="str">
        <f>IFERROR(__xludf.DUMMYFUNCTION("SPLIT(E48,""/"")")," NEFT")</f>
        <v> NEFT</v>
      </c>
      <c r="G48" s="3" t="str">
        <f>IFERROR(__xludf.DUMMYFUNCTION("""COMPUTED_VALUE"""),"Offline")</f>
        <v>Offline</v>
      </c>
      <c r="H48" s="3">
        <f>IFERROR(__xludf.DUMMYFUNCTION("""COMPUTED_VALUE"""),2.0221025E7)</f>
        <v>20221025</v>
      </c>
      <c r="I48" s="3" t="str">
        <f>IFERROR(__xludf.DUMMYFUNCTION("""COMPUTED_VALUE"""),"visitudaipur")</f>
        <v>visitudaipur</v>
      </c>
      <c r="J48" s="3">
        <f>IFERROR(__xludf.DUMMYFUNCTION("""COMPUTED_VALUE"""),4565.0)</f>
        <v>4565</v>
      </c>
      <c r="K48" s="3" t="str">
        <f t="shared" ref="K48:L48" si="52">TRIM(F48)</f>
        <v>NEFT</v>
      </c>
      <c r="L48" s="3" t="str">
        <f t="shared" si="52"/>
        <v>Offline</v>
      </c>
      <c r="M48" s="3" t="str">
        <f t="shared" si="3"/>
        <v>Offline</v>
      </c>
      <c r="N48" s="3" t="str">
        <f>IFERROR(__xludf.DUMMYFUNCTION("SPLIT(M48,""&amp;"")"),"Offline")</f>
        <v>Offline</v>
      </c>
      <c r="O48" s="3" t="str">
        <f t="shared" si="4"/>
        <v>Offline</v>
      </c>
      <c r="P48" s="3" t="str">
        <f t="shared" si="5"/>
        <v>visitudaipur</v>
      </c>
      <c r="Q48" s="3" t="str">
        <f t="shared" si="6"/>
        <v>Visitudaipur</v>
      </c>
      <c r="R48" s="3">
        <f t="shared" si="7"/>
        <v>4565</v>
      </c>
    </row>
    <row r="49">
      <c r="A49" s="7" t="s">
        <v>78</v>
      </c>
      <c r="B49" s="8" t="s">
        <v>20</v>
      </c>
      <c r="C49" s="8">
        <v>27600.0</v>
      </c>
      <c r="E49" s="3" t="str">
        <f>IFERROR(__xludf.DUMMYFUNCTION("SPLIT(A49,""|"")")," CHQ/Offline &amp;/20221230/Visitjodhpur/4566 ")</f>
        <v> CHQ/Offline &amp;/20221230/Visitjodhpur/4566 </v>
      </c>
      <c r="F49" s="3" t="str">
        <f>IFERROR(__xludf.DUMMYFUNCTION("SPLIT(E49,""/"")")," CHQ")</f>
        <v> CHQ</v>
      </c>
      <c r="G49" s="3" t="str">
        <f>IFERROR(__xludf.DUMMYFUNCTION("""COMPUTED_VALUE"""),"Offline &amp;")</f>
        <v>Offline &amp;</v>
      </c>
      <c r="H49" s="3">
        <f>IFERROR(__xludf.DUMMYFUNCTION("""COMPUTED_VALUE"""),2.022123E7)</f>
        <v>20221230</v>
      </c>
      <c r="I49" s="3" t="str">
        <f>IFERROR(__xludf.DUMMYFUNCTION("""COMPUTED_VALUE"""),"Visitjodhpur")</f>
        <v>Visitjodhpur</v>
      </c>
      <c r="J49" s="3">
        <f>IFERROR(__xludf.DUMMYFUNCTION("""COMPUTED_VALUE"""),4566.0)</f>
        <v>4566</v>
      </c>
      <c r="K49" s="3" t="str">
        <f t="shared" ref="K49:L49" si="53">TRIM(F49)</f>
        <v>CHQ</v>
      </c>
      <c r="L49" s="3" t="str">
        <f t="shared" si="53"/>
        <v>Offline &amp;</v>
      </c>
      <c r="M49" s="3" t="str">
        <f t="shared" si="3"/>
        <v>Offline &amp;</v>
      </c>
      <c r="N49" s="3" t="str">
        <f>IFERROR(__xludf.DUMMYFUNCTION("SPLIT(M49,""&amp;"")"),"Offline ")</f>
        <v>Offline </v>
      </c>
      <c r="O49" s="3" t="str">
        <f t="shared" si="4"/>
        <v>Offline</v>
      </c>
      <c r="P49" s="3" t="str">
        <f t="shared" si="5"/>
        <v>Visitjodhpur</v>
      </c>
      <c r="Q49" s="3" t="str">
        <f t="shared" si="6"/>
        <v>Visitjodhpur</v>
      </c>
      <c r="R49" s="3">
        <f t="shared" si="7"/>
        <v>4566</v>
      </c>
    </row>
    <row r="50">
      <c r="A50" s="7" t="s">
        <v>79</v>
      </c>
      <c r="B50" s="8" t="s">
        <v>6</v>
      </c>
      <c r="C50" s="8">
        <v>43000.0</v>
      </c>
      <c r="E50" s="3" t="str">
        <f>IFERROR(__xludf.DUMMYFUNCTION("SPLIT(A50,""|"")")," VfS/YouTube/20221007/visitJaisalmer/3455 ")</f>
        <v> VfS/YouTube/20221007/visitJaisalmer/3455 </v>
      </c>
      <c r="F50" s="3" t="str">
        <f>IFERROR(__xludf.DUMMYFUNCTION("SPLIT(E50,""/"")")," VfS")</f>
        <v> VfS</v>
      </c>
      <c r="G50" s="3" t="str">
        <f>IFERROR(__xludf.DUMMYFUNCTION("""COMPUTED_VALUE"""),"YouTube")</f>
        <v>YouTube</v>
      </c>
      <c r="H50" s="3">
        <f>IFERROR(__xludf.DUMMYFUNCTION("""COMPUTED_VALUE"""),2.0221007E7)</f>
        <v>20221007</v>
      </c>
      <c r="I50" s="3" t="str">
        <f>IFERROR(__xludf.DUMMYFUNCTION("""COMPUTED_VALUE"""),"visitJaisalmer")</f>
        <v>visitJaisalmer</v>
      </c>
      <c r="J50" s="3">
        <f>IFERROR(__xludf.DUMMYFUNCTION("""COMPUTED_VALUE"""),3455.0)</f>
        <v>3455</v>
      </c>
      <c r="K50" s="3" t="str">
        <f t="shared" ref="K50:L50" si="54">TRIM(F50)</f>
        <v>VfS</v>
      </c>
      <c r="L50" s="3" t="str">
        <f t="shared" si="54"/>
        <v>YouTube</v>
      </c>
      <c r="M50" s="3" t="str">
        <f t="shared" si="3"/>
        <v>Youtube</v>
      </c>
      <c r="N50" s="3" t="str">
        <f>IFERROR(__xludf.DUMMYFUNCTION("SPLIT(M50,""&amp;"")"),"Youtube")</f>
        <v>Youtube</v>
      </c>
      <c r="O50" s="3" t="str">
        <f t="shared" si="4"/>
        <v>Youtube</v>
      </c>
      <c r="P50" s="3" t="str">
        <f t="shared" si="5"/>
        <v>visitJaisalmer</v>
      </c>
      <c r="Q50" s="3" t="str">
        <f t="shared" si="6"/>
        <v>Visitjaisalmer</v>
      </c>
      <c r="R50" s="3">
        <f t="shared" si="7"/>
        <v>3455</v>
      </c>
    </row>
    <row r="51">
      <c r="A51" s="7" t="s">
        <v>80</v>
      </c>
      <c r="B51" s="8" t="s">
        <v>6</v>
      </c>
      <c r="C51" s="8">
        <v>42500.0</v>
      </c>
      <c r="E51" s="3" t="str">
        <f>IFERROR(__xludf.DUMMYFUNCTION("SPLIT(A51,""|"")")," VIN/offline/20221010/visitbikaner/5666 ")</f>
        <v> VIN/offline/20221010/visitbikaner/5666 </v>
      </c>
      <c r="F51" s="3" t="str">
        <f>IFERROR(__xludf.DUMMYFUNCTION("SPLIT(E51,""/"")")," VIN")</f>
        <v> VIN</v>
      </c>
      <c r="G51" s="3" t="str">
        <f>IFERROR(__xludf.DUMMYFUNCTION("""COMPUTED_VALUE"""),"offline")</f>
        <v>offline</v>
      </c>
      <c r="H51" s="3">
        <f>IFERROR(__xludf.DUMMYFUNCTION("""COMPUTED_VALUE"""),2.022101E7)</f>
        <v>20221010</v>
      </c>
      <c r="I51" s="3" t="str">
        <f>IFERROR(__xludf.DUMMYFUNCTION("""COMPUTED_VALUE"""),"visitbikaner")</f>
        <v>visitbikaner</v>
      </c>
      <c r="J51" s="3">
        <f>IFERROR(__xludf.DUMMYFUNCTION("""COMPUTED_VALUE"""),5666.0)</f>
        <v>5666</v>
      </c>
      <c r="K51" s="3" t="str">
        <f t="shared" ref="K51:L51" si="55">TRIM(F51)</f>
        <v>VIN</v>
      </c>
      <c r="L51" s="3" t="str">
        <f t="shared" si="55"/>
        <v>offline</v>
      </c>
      <c r="M51" s="3" t="str">
        <f t="shared" si="3"/>
        <v>Offline</v>
      </c>
      <c r="N51" s="3" t="str">
        <f>IFERROR(__xludf.DUMMYFUNCTION("SPLIT(M51,""&amp;"")"),"Offline")</f>
        <v>Offline</v>
      </c>
      <c r="O51" s="3" t="str">
        <f t="shared" si="4"/>
        <v>Offline</v>
      </c>
      <c r="P51" s="3" t="str">
        <f t="shared" si="5"/>
        <v>visitbikaner</v>
      </c>
      <c r="Q51" s="3" t="str">
        <f t="shared" si="6"/>
        <v>Visitbikaner</v>
      </c>
      <c r="R51" s="3">
        <f t="shared" si="7"/>
        <v>5666</v>
      </c>
    </row>
    <row r="52">
      <c r="A52" s="7" t="s">
        <v>81</v>
      </c>
      <c r="B52" s="8" t="s">
        <v>6</v>
      </c>
      <c r="C52" s="8">
        <v>22300.0</v>
      </c>
      <c r="E52" s="3" t="str">
        <f>IFERROR(__xludf.DUMMYFUNCTION("SPLIT(A52,""|"")")," NEFT/Facebook/20221015/Visitjaipur/5676 ")</f>
        <v> NEFT/Facebook/20221015/Visitjaipur/5676 </v>
      </c>
      <c r="F52" s="3" t="str">
        <f>IFERROR(__xludf.DUMMYFUNCTION("SPLIT(E52,""/"")")," NEFT")</f>
        <v> NEFT</v>
      </c>
      <c r="G52" s="3" t="str">
        <f>IFERROR(__xludf.DUMMYFUNCTION("""COMPUTED_VALUE"""),"Facebook")</f>
        <v>Facebook</v>
      </c>
      <c r="H52" s="3">
        <f>IFERROR(__xludf.DUMMYFUNCTION("""COMPUTED_VALUE"""),2.0221015E7)</f>
        <v>20221015</v>
      </c>
      <c r="I52" s="3" t="str">
        <f>IFERROR(__xludf.DUMMYFUNCTION("""COMPUTED_VALUE"""),"Visitjaipur")</f>
        <v>Visitjaipur</v>
      </c>
      <c r="J52" s="3">
        <f>IFERROR(__xludf.DUMMYFUNCTION("""COMPUTED_VALUE"""),5676.0)</f>
        <v>5676</v>
      </c>
      <c r="K52" s="3" t="str">
        <f t="shared" ref="K52:L52" si="56">TRIM(F52)</f>
        <v>NEFT</v>
      </c>
      <c r="L52" s="3" t="str">
        <f t="shared" si="56"/>
        <v>Facebook</v>
      </c>
      <c r="M52" s="3" t="str">
        <f t="shared" si="3"/>
        <v>Facebook</v>
      </c>
      <c r="N52" s="3" t="str">
        <f>IFERROR(__xludf.DUMMYFUNCTION("SPLIT(M52,""&amp;"")"),"Facebook")</f>
        <v>Facebook</v>
      </c>
      <c r="O52" s="3" t="str">
        <f t="shared" si="4"/>
        <v>Facebook</v>
      </c>
      <c r="P52" s="3" t="str">
        <f t="shared" si="5"/>
        <v>Visitjaipur</v>
      </c>
      <c r="Q52" s="3" t="str">
        <f t="shared" si="6"/>
        <v>Visitjaipur</v>
      </c>
      <c r="R52" s="3">
        <f t="shared" si="7"/>
        <v>5676</v>
      </c>
    </row>
    <row r="53">
      <c r="A53" s="7" t="s">
        <v>82</v>
      </c>
      <c r="B53" s="8" t="s">
        <v>6</v>
      </c>
      <c r="C53" s="8">
        <v>54700.0</v>
      </c>
      <c r="E53" s="3" t="str">
        <f>IFERROR(__xludf.DUMMYFUNCTION("SPLIT(A53,""|"")")," CHQ/Google Ads &amp;/20221019/Visitrajasthan/4564 ")</f>
        <v> CHQ/Google Ads &amp;/20221019/Visitrajasthan/4564 </v>
      </c>
      <c r="F53" s="3" t="str">
        <f>IFERROR(__xludf.DUMMYFUNCTION("SPLIT(E53,""/"")")," CHQ")</f>
        <v> CHQ</v>
      </c>
      <c r="G53" s="3" t="str">
        <f>IFERROR(__xludf.DUMMYFUNCTION("""COMPUTED_VALUE"""),"Google Ads &amp;")</f>
        <v>Google Ads &amp;</v>
      </c>
      <c r="H53" s="3">
        <f>IFERROR(__xludf.DUMMYFUNCTION("""COMPUTED_VALUE"""),2.0221019E7)</f>
        <v>20221019</v>
      </c>
      <c r="I53" s="3" t="str">
        <f>IFERROR(__xludf.DUMMYFUNCTION("""COMPUTED_VALUE"""),"Visitrajasthan")</f>
        <v>Visitrajasthan</v>
      </c>
      <c r="J53" s="3">
        <f>IFERROR(__xludf.DUMMYFUNCTION("""COMPUTED_VALUE"""),4564.0)</f>
        <v>4564</v>
      </c>
      <c r="K53" s="3" t="str">
        <f t="shared" ref="K53:L53" si="57">TRIM(F53)</f>
        <v>CHQ</v>
      </c>
      <c r="L53" s="3" t="str">
        <f t="shared" si="57"/>
        <v>Google Ads &amp;</v>
      </c>
      <c r="M53" s="3" t="str">
        <f t="shared" si="3"/>
        <v>Google Ads &amp;</v>
      </c>
      <c r="N53" s="3" t="str">
        <f>IFERROR(__xludf.DUMMYFUNCTION("SPLIT(M53,""&amp;"")"),"Google Ads ")</f>
        <v>Google Ads </v>
      </c>
      <c r="O53" s="3" t="str">
        <f t="shared" si="4"/>
        <v>Google Ads</v>
      </c>
      <c r="P53" s="3" t="str">
        <f t="shared" si="5"/>
        <v>Visitrajasthan</v>
      </c>
      <c r="Q53" s="3" t="str">
        <f t="shared" si="6"/>
        <v>Visitrajasthan</v>
      </c>
      <c r="R53" s="3">
        <f t="shared" si="7"/>
        <v>4564</v>
      </c>
    </row>
    <row r="54">
      <c r="A54" s="7" t="s">
        <v>83</v>
      </c>
      <c r="B54" s="8" t="s">
        <v>19</v>
      </c>
      <c r="C54" s="8">
        <v>63900.0</v>
      </c>
      <c r="E54" s="3" t="str">
        <f>IFERROR(__xludf.DUMMYFUNCTION("SPLIT(A54,""|"")")," VfS/Instagram/20221101/visitudaipur/4565 ")</f>
        <v> VfS/Instagram/20221101/visitudaipur/4565 </v>
      </c>
      <c r="F54" s="3" t="str">
        <f>IFERROR(__xludf.DUMMYFUNCTION("SPLIT(E54,""/"")")," VfS")</f>
        <v> VfS</v>
      </c>
      <c r="G54" s="3" t="str">
        <f>IFERROR(__xludf.DUMMYFUNCTION("""COMPUTED_VALUE"""),"Instagram")</f>
        <v>Instagram</v>
      </c>
      <c r="H54" s="3">
        <f>IFERROR(__xludf.DUMMYFUNCTION("""COMPUTED_VALUE"""),2.0221101E7)</f>
        <v>20221101</v>
      </c>
      <c r="I54" s="3" t="str">
        <f>IFERROR(__xludf.DUMMYFUNCTION("""COMPUTED_VALUE"""),"visitudaipur")</f>
        <v>visitudaipur</v>
      </c>
      <c r="J54" s="3">
        <f>IFERROR(__xludf.DUMMYFUNCTION("""COMPUTED_VALUE"""),4565.0)</f>
        <v>4565</v>
      </c>
      <c r="K54" s="3" t="str">
        <f t="shared" ref="K54:L54" si="58">TRIM(F54)</f>
        <v>VfS</v>
      </c>
      <c r="L54" s="3" t="str">
        <f t="shared" si="58"/>
        <v>Instagram</v>
      </c>
      <c r="M54" s="3" t="str">
        <f t="shared" si="3"/>
        <v>Instagram</v>
      </c>
      <c r="N54" s="3" t="str">
        <f>IFERROR(__xludf.DUMMYFUNCTION("SPLIT(M54,""&amp;"")"),"Instagram")</f>
        <v>Instagram</v>
      </c>
      <c r="O54" s="3" t="str">
        <f t="shared" si="4"/>
        <v>Instagram</v>
      </c>
      <c r="P54" s="3" t="str">
        <f t="shared" si="5"/>
        <v>visitudaipur</v>
      </c>
      <c r="Q54" s="3" t="str">
        <f t="shared" si="6"/>
        <v>Visitudaipur</v>
      </c>
      <c r="R54" s="3">
        <f t="shared" si="7"/>
        <v>4565</v>
      </c>
    </row>
    <row r="55">
      <c r="A55" s="7" t="s">
        <v>84</v>
      </c>
      <c r="B55" s="8" t="s">
        <v>6</v>
      </c>
      <c r="C55" s="8">
        <v>38100.0</v>
      </c>
      <c r="E55" s="3" t="str">
        <f>IFERROR(__xludf.DUMMYFUNCTION("SPLIT(A55,""|"")")," VIN/OfflINe &amp;/20221026/Visitjodhpur/4566 ")</f>
        <v> VIN/OfflINe &amp;/20221026/Visitjodhpur/4566 </v>
      </c>
      <c r="F55" s="3" t="str">
        <f>IFERROR(__xludf.DUMMYFUNCTION("SPLIT(E55,""/"")")," VIN")</f>
        <v> VIN</v>
      </c>
      <c r="G55" s="3" t="str">
        <f>IFERROR(__xludf.DUMMYFUNCTION("""COMPUTED_VALUE"""),"OfflINe &amp;")</f>
        <v>OfflINe &amp;</v>
      </c>
      <c r="H55" s="3">
        <f>IFERROR(__xludf.DUMMYFUNCTION("""COMPUTED_VALUE"""),2.0221026E7)</f>
        <v>20221026</v>
      </c>
      <c r="I55" s="3" t="str">
        <f>IFERROR(__xludf.DUMMYFUNCTION("""COMPUTED_VALUE"""),"Visitjodhpur")</f>
        <v>Visitjodhpur</v>
      </c>
      <c r="J55" s="3">
        <f>IFERROR(__xludf.DUMMYFUNCTION("""COMPUTED_VALUE"""),4566.0)</f>
        <v>4566</v>
      </c>
      <c r="K55" s="3" t="str">
        <f t="shared" ref="K55:L55" si="59">TRIM(F55)</f>
        <v>VIN</v>
      </c>
      <c r="L55" s="3" t="str">
        <f t="shared" si="59"/>
        <v>OfflINe &amp;</v>
      </c>
      <c r="M55" s="3" t="str">
        <f t="shared" si="3"/>
        <v>Offline &amp;</v>
      </c>
      <c r="N55" s="3" t="str">
        <f>IFERROR(__xludf.DUMMYFUNCTION("SPLIT(M55,""&amp;"")"),"Offline ")</f>
        <v>Offline </v>
      </c>
      <c r="O55" s="3" t="str">
        <f t="shared" si="4"/>
        <v>Offline</v>
      </c>
      <c r="P55" s="3" t="str">
        <f t="shared" si="5"/>
        <v>Visitjodhpur</v>
      </c>
      <c r="Q55" s="3" t="str">
        <f t="shared" si="6"/>
        <v>Visitjodhpur</v>
      </c>
      <c r="R55" s="3">
        <f t="shared" si="7"/>
        <v>4566</v>
      </c>
    </row>
    <row r="56">
      <c r="A56" s="7" t="s">
        <v>31</v>
      </c>
      <c r="B56" s="8" t="s">
        <v>6</v>
      </c>
      <c r="C56" s="8">
        <v>14100.0</v>
      </c>
      <c r="E56" s="3" t="str">
        <f>IFERROR(__xludf.DUMMYFUNCTION("SPLIT(A56,""|"")")," VfS/Facebook/20221015/Visitjaipur/5676 ")</f>
        <v> VfS/Facebook/20221015/Visitjaipur/5676 </v>
      </c>
      <c r="F56" s="3" t="str">
        <f>IFERROR(__xludf.DUMMYFUNCTION("SPLIT(E56,""/"")")," VfS")</f>
        <v> VfS</v>
      </c>
      <c r="G56" s="3" t="str">
        <f>IFERROR(__xludf.DUMMYFUNCTION("""COMPUTED_VALUE"""),"Facebook")</f>
        <v>Facebook</v>
      </c>
      <c r="H56" s="3">
        <f>IFERROR(__xludf.DUMMYFUNCTION("""COMPUTED_VALUE"""),2.0221015E7)</f>
        <v>20221015</v>
      </c>
      <c r="I56" s="3" t="str">
        <f>IFERROR(__xludf.DUMMYFUNCTION("""COMPUTED_VALUE"""),"Visitjaipur")</f>
        <v>Visitjaipur</v>
      </c>
      <c r="J56" s="3">
        <f>IFERROR(__xludf.DUMMYFUNCTION("""COMPUTED_VALUE"""),5676.0)</f>
        <v>5676</v>
      </c>
      <c r="K56" s="3" t="str">
        <f t="shared" ref="K56:L56" si="60">TRIM(F56)</f>
        <v>VfS</v>
      </c>
      <c r="L56" s="3" t="str">
        <f t="shared" si="60"/>
        <v>Facebook</v>
      </c>
      <c r="M56" s="3" t="str">
        <f t="shared" si="3"/>
        <v>Facebook</v>
      </c>
      <c r="N56" s="3" t="str">
        <f>IFERROR(__xludf.DUMMYFUNCTION("SPLIT(M56,""&amp;"")"),"Facebook")</f>
        <v>Facebook</v>
      </c>
      <c r="O56" s="3" t="str">
        <f t="shared" si="4"/>
        <v>Facebook</v>
      </c>
      <c r="P56" s="3" t="str">
        <f t="shared" si="5"/>
        <v>Visitjaipur</v>
      </c>
      <c r="Q56" s="3" t="str">
        <f t="shared" si="6"/>
        <v>Visitjaipur</v>
      </c>
      <c r="R56" s="3">
        <f t="shared" si="7"/>
        <v>5676</v>
      </c>
    </row>
    <row r="57">
      <c r="A57" s="7" t="s">
        <v>85</v>
      </c>
      <c r="B57" s="8" t="s">
        <v>6</v>
      </c>
      <c r="C57" s="8">
        <v>48000.0</v>
      </c>
      <c r="E57" s="3" t="str">
        <f>IFERROR(__xludf.DUMMYFUNCTION("SPLIT(A57,""|"")")," VIN/twitter/20221002/Visitrajasthan/4564 ")</f>
        <v> VIN/twitter/20221002/Visitrajasthan/4564 </v>
      </c>
      <c r="F57" s="3" t="str">
        <f>IFERROR(__xludf.DUMMYFUNCTION("SPLIT(E57,""/"")")," VIN")</f>
        <v> VIN</v>
      </c>
      <c r="G57" s="3" t="str">
        <f>IFERROR(__xludf.DUMMYFUNCTION("""COMPUTED_VALUE"""),"twitter")</f>
        <v>twitter</v>
      </c>
      <c r="H57" s="3">
        <f>IFERROR(__xludf.DUMMYFUNCTION("""COMPUTED_VALUE"""),2.0221002E7)</f>
        <v>20221002</v>
      </c>
      <c r="I57" s="3" t="str">
        <f>IFERROR(__xludf.DUMMYFUNCTION("""COMPUTED_VALUE"""),"Visitrajasthan")</f>
        <v>Visitrajasthan</v>
      </c>
      <c r="J57" s="3">
        <f>IFERROR(__xludf.DUMMYFUNCTION("""COMPUTED_VALUE"""),4564.0)</f>
        <v>4564</v>
      </c>
      <c r="K57" s="3" t="str">
        <f t="shared" ref="K57:L57" si="61">TRIM(F57)</f>
        <v>VIN</v>
      </c>
      <c r="L57" s="3" t="str">
        <f t="shared" si="61"/>
        <v>twitter</v>
      </c>
      <c r="M57" s="3" t="str">
        <f t="shared" si="3"/>
        <v>Twitter</v>
      </c>
      <c r="N57" s="3" t="str">
        <f>IFERROR(__xludf.DUMMYFUNCTION("SPLIT(M57,""&amp;"")"),"Twitter")</f>
        <v>Twitter</v>
      </c>
      <c r="O57" s="3" t="str">
        <f t="shared" si="4"/>
        <v>Twitter</v>
      </c>
      <c r="P57" s="3" t="str">
        <f t="shared" si="5"/>
        <v>Visitrajasthan</v>
      </c>
      <c r="Q57" s="3" t="str">
        <f t="shared" si="6"/>
        <v>Visitrajasthan</v>
      </c>
      <c r="R57" s="3">
        <f t="shared" si="7"/>
        <v>4564</v>
      </c>
    </row>
    <row r="58">
      <c r="A58" s="7" t="s">
        <v>86</v>
      </c>
      <c r="B58" s="8" t="s">
        <v>20</v>
      </c>
      <c r="C58" s="8">
        <v>89800.0</v>
      </c>
      <c r="E58" s="3" t="str">
        <f>IFERROR(__xludf.DUMMYFUNCTION("SPLIT(A58,""|"")")," NEFT/Instagram/20221210/visitudaipur/4565 ")</f>
        <v> NEFT/Instagram/20221210/visitudaipur/4565 </v>
      </c>
      <c r="F58" s="3" t="str">
        <f>IFERROR(__xludf.DUMMYFUNCTION("SPLIT(E58,""/"")")," NEFT")</f>
        <v> NEFT</v>
      </c>
      <c r="G58" s="3" t="str">
        <f>IFERROR(__xludf.DUMMYFUNCTION("""COMPUTED_VALUE"""),"Instagram")</f>
        <v>Instagram</v>
      </c>
      <c r="H58" s="3">
        <f>IFERROR(__xludf.DUMMYFUNCTION("""COMPUTED_VALUE"""),2.022121E7)</f>
        <v>20221210</v>
      </c>
      <c r="I58" s="3" t="str">
        <f>IFERROR(__xludf.DUMMYFUNCTION("""COMPUTED_VALUE"""),"visitudaipur")</f>
        <v>visitudaipur</v>
      </c>
      <c r="J58" s="3">
        <f>IFERROR(__xludf.DUMMYFUNCTION("""COMPUTED_VALUE"""),4565.0)</f>
        <v>4565</v>
      </c>
      <c r="K58" s="3" t="str">
        <f t="shared" ref="K58:L58" si="62">TRIM(F58)</f>
        <v>NEFT</v>
      </c>
      <c r="L58" s="3" t="str">
        <f t="shared" si="62"/>
        <v>Instagram</v>
      </c>
      <c r="M58" s="3" t="str">
        <f t="shared" si="3"/>
        <v>Instagram</v>
      </c>
      <c r="N58" s="3" t="str">
        <f>IFERROR(__xludf.DUMMYFUNCTION("SPLIT(M58,""&amp;"")"),"Instagram")</f>
        <v>Instagram</v>
      </c>
      <c r="O58" s="3" t="str">
        <f t="shared" si="4"/>
        <v>Instagram</v>
      </c>
      <c r="P58" s="3" t="str">
        <f t="shared" si="5"/>
        <v>visitudaipur</v>
      </c>
      <c r="Q58" s="3" t="str">
        <f t="shared" si="6"/>
        <v>Visitudaipur</v>
      </c>
      <c r="R58" s="3">
        <f t="shared" si="7"/>
        <v>4565</v>
      </c>
    </row>
    <row r="59">
      <c r="A59" s="7" t="s">
        <v>87</v>
      </c>
      <c r="B59" s="8" t="s">
        <v>20</v>
      </c>
      <c r="C59" s="8">
        <v>36900.0</v>
      </c>
      <c r="E59" s="3" t="str">
        <f>IFERROR(__xludf.DUMMYFUNCTION("SPLIT(A59,""|"")")," CHQ/Offline &amp;/20221221/Visitjodhpur/4566 ")</f>
        <v> CHQ/Offline &amp;/20221221/Visitjodhpur/4566 </v>
      </c>
      <c r="F59" s="3" t="str">
        <f>IFERROR(__xludf.DUMMYFUNCTION("SPLIT(E59,""/"")")," CHQ")</f>
        <v> CHQ</v>
      </c>
      <c r="G59" s="3" t="str">
        <f>IFERROR(__xludf.DUMMYFUNCTION("""COMPUTED_VALUE"""),"Offline &amp;")</f>
        <v>Offline &amp;</v>
      </c>
      <c r="H59" s="3">
        <f>IFERROR(__xludf.DUMMYFUNCTION("""COMPUTED_VALUE"""),2.0221221E7)</f>
        <v>20221221</v>
      </c>
      <c r="I59" s="3" t="str">
        <f>IFERROR(__xludf.DUMMYFUNCTION("""COMPUTED_VALUE"""),"Visitjodhpur")</f>
        <v>Visitjodhpur</v>
      </c>
      <c r="J59" s="3">
        <f>IFERROR(__xludf.DUMMYFUNCTION("""COMPUTED_VALUE"""),4566.0)</f>
        <v>4566</v>
      </c>
      <c r="K59" s="3" t="str">
        <f t="shared" ref="K59:L59" si="63">TRIM(F59)</f>
        <v>CHQ</v>
      </c>
      <c r="L59" s="3" t="str">
        <f t="shared" si="63"/>
        <v>Offline &amp;</v>
      </c>
      <c r="M59" s="3" t="str">
        <f t="shared" si="3"/>
        <v>Offline &amp;</v>
      </c>
      <c r="N59" s="3" t="str">
        <f>IFERROR(__xludf.DUMMYFUNCTION("SPLIT(M59,""&amp;"")"),"Offline ")</f>
        <v>Offline </v>
      </c>
      <c r="O59" s="3" t="str">
        <f t="shared" si="4"/>
        <v>Offline</v>
      </c>
      <c r="P59" s="3" t="str">
        <f t="shared" si="5"/>
        <v>Visitjodhpur</v>
      </c>
      <c r="Q59" s="3" t="str">
        <f t="shared" si="6"/>
        <v>Visitjodhpur</v>
      </c>
      <c r="R59" s="3">
        <f t="shared" si="7"/>
        <v>4566</v>
      </c>
    </row>
    <row r="60">
      <c r="A60" s="7" t="s">
        <v>88</v>
      </c>
      <c r="B60" s="8" t="s">
        <v>19</v>
      </c>
      <c r="C60" s="8">
        <v>26100.0</v>
      </c>
      <c r="E60" s="3" t="str">
        <f>IFERROR(__xludf.DUMMYFUNCTION("SPLIT(A60,""|"")")," VfS/Google Ads/20221118/visitJaisalmer/3455 ")</f>
        <v> VfS/Google Ads/20221118/visitJaisalmer/3455 </v>
      </c>
      <c r="F60" s="3" t="str">
        <f>IFERROR(__xludf.DUMMYFUNCTION("SPLIT(E60,""/"")")," VfS")</f>
        <v> VfS</v>
      </c>
      <c r="G60" s="3" t="str">
        <f>IFERROR(__xludf.DUMMYFUNCTION("""COMPUTED_VALUE"""),"Google Ads")</f>
        <v>Google Ads</v>
      </c>
      <c r="H60" s="3">
        <f>IFERROR(__xludf.DUMMYFUNCTION("""COMPUTED_VALUE"""),2.0221118E7)</f>
        <v>20221118</v>
      </c>
      <c r="I60" s="3" t="str">
        <f>IFERROR(__xludf.DUMMYFUNCTION("""COMPUTED_VALUE"""),"visitJaisalmer")</f>
        <v>visitJaisalmer</v>
      </c>
      <c r="J60" s="3">
        <f>IFERROR(__xludf.DUMMYFUNCTION("""COMPUTED_VALUE"""),3455.0)</f>
        <v>3455</v>
      </c>
      <c r="K60" s="3" t="str">
        <f t="shared" ref="K60:L60" si="64">TRIM(F60)</f>
        <v>VfS</v>
      </c>
      <c r="L60" s="3" t="str">
        <f t="shared" si="64"/>
        <v>Google Ads</v>
      </c>
      <c r="M60" s="3" t="str">
        <f t="shared" si="3"/>
        <v>Google Ads</v>
      </c>
      <c r="N60" s="3" t="str">
        <f>IFERROR(__xludf.DUMMYFUNCTION("SPLIT(M60,""&amp;"")"),"Google Ads")</f>
        <v>Google Ads</v>
      </c>
      <c r="O60" s="3" t="str">
        <f t="shared" si="4"/>
        <v>Google Ads</v>
      </c>
      <c r="P60" s="3" t="str">
        <f t="shared" si="5"/>
        <v>visitJaisalmer</v>
      </c>
      <c r="Q60" s="3" t="str">
        <f t="shared" si="6"/>
        <v>Visitjaisalmer</v>
      </c>
      <c r="R60" s="3">
        <f t="shared" si="7"/>
        <v>3455</v>
      </c>
    </row>
    <row r="61">
      <c r="A61" s="7" t="s">
        <v>89</v>
      </c>
      <c r="B61" s="8" t="s">
        <v>6</v>
      </c>
      <c r="C61" s="8">
        <v>90000.0</v>
      </c>
      <c r="E61" s="3" t="str">
        <f>IFERROR(__xludf.DUMMYFUNCTION("SPLIT(A61,""|"")")," VIN/Google ads/20221005/visitbikaner/5666 ")</f>
        <v> VIN/Google ads/20221005/visitbikaner/5666 </v>
      </c>
      <c r="F61" s="3" t="str">
        <f>IFERROR(__xludf.DUMMYFUNCTION("SPLIT(E61,""/"")")," VIN")</f>
        <v> VIN</v>
      </c>
      <c r="G61" s="3" t="str">
        <f>IFERROR(__xludf.DUMMYFUNCTION("""COMPUTED_VALUE"""),"Google ads")</f>
        <v>Google ads</v>
      </c>
      <c r="H61" s="3">
        <f>IFERROR(__xludf.DUMMYFUNCTION("""COMPUTED_VALUE"""),2.0221005E7)</f>
        <v>20221005</v>
      </c>
      <c r="I61" s="3" t="str">
        <f>IFERROR(__xludf.DUMMYFUNCTION("""COMPUTED_VALUE"""),"visitbikaner")</f>
        <v>visitbikaner</v>
      </c>
      <c r="J61" s="3">
        <f>IFERROR(__xludf.DUMMYFUNCTION("""COMPUTED_VALUE"""),5666.0)</f>
        <v>5666</v>
      </c>
      <c r="K61" s="3" t="str">
        <f t="shared" ref="K61:L61" si="65">TRIM(F61)</f>
        <v>VIN</v>
      </c>
      <c r="L61" s="3" t="str">
        <f t="shared" si="65"/>
        <v>Google ads</v>
      </c>
      <c r="M61" s="3" t="str">
        <f t="shared" si="3"/>
        <v>Google Ads</v>
      </c>
      <c r="N61" s="3" t="str">
        <f>IFERROR(__xludf.DUMMYFUNCTION("SPLIT(M61,""&amp;"")"),"Google Ads")</f>
        <v>Google Ads</v>
      </c>
      <c r="O61" s="3" t="str">
        <f t="shared" si="4"/>
        <v>Google Ads</v>
      </c>
      <c r="P61" s="3" t="str">
        <f t="shared" si="5"/>
        <v>visitbikaner</v>
      </c>
      <c r="Q61" s="3" t="str">
        <f t="shared" si="6"/>
        <v>Visitbikaner</v>
      </c>
      <c r="R61" s="3">
        <f t="shared" si="7"/>
        <v>5666</v>
      </c>
    </row>
    <row r="62">
      <c r="A62" s="7" t="s">
        <v>90</v>
      </c>
      <c r="B62" s="8" t="s">
        <v>20</v>
      </c>
      <c r="C62" s="8">
        <v>79700.0</v>
      </c>
      <c r="E62" s="3" t="str">
        <f>IFERROR(__xludf.DUMMYFUNCTION("SPLIT(A62,""|"")")," NEFT/Facebook/20221212/Visitjaipur/5676 ")</f>
        <v> NEFT/Facebook/20221212/Visitjaipur/5676 </v>
      </c>
      <c r="F62" s="3" t="str">
        <f>IFERROR(__xludf.DUMMYFUNCTION("SPLIT(E62,""/"")")," NEFT")</f>
        <v> NEFT</v>
      </c>
      <c r="G62" s="3" t="str">
        <f>IFERROR(__xludf.DUMMYFUNCTION("""COMPUTED_VALUE"""),"Facebook")</f>
        <v>Facebook</v>
      </c>
      <c r="H62" s="3">
        <f>IFERROR(__xludf.DUMMYFUNCTION("""COMPUTED_VALUE"""),2.0221212E7)</f>
        <v>20221212</v>
      </c>
      <c r="I62" s="3" t="str">
        <f>IFERROR(__xludf.DUMMYFUNCTION("""COMPUTED_VALUE"""),"Visitjaipur")</f>
        <v>Visitjaipur</v>
      </c>
      <c r="J62" s="3">
        <f>IFERROR(__xludf.DUMMYFUNCTION("""COMPUTED_VALUE"""),5676.0)</f>
        <v>5676</v>
      </c>
      <c r="K62" s="3" t="str">
        <f t="shared" ref="K62:L62" si="66">TRIM(F62)</f>
        <v>NEFT</v>
      </c>
      <c r="L62" s="3" t="str">
        <f t="shared" si="66"/>
        <v>Facebook</v>
      </c>
      <c r="M62" s="3" t="str">
        <f t="shared" si="3"/>
        <v>Facebook</v>
      </c>
      <c r="N62" s="3" t="str">
        <f>IFERROR(__xludf.DUMMYFUNCTION("SPLIT(M62,""&amp;"")"),"Facebook")</f>
        <v>Facebook</v>
      </c>
      <c r="O62" s="3" t="str">
        <f t="shared" si="4"/>
        <v>Facebook</v>
      </c>
      <c r="P62" s="3" t="str">
        <f t="shared" si="5"/>
        <v>Visitjaipur</v>
      </c>
      <c r="Q62" s="3" t="str">
        <f t="shared" si="6"/>
        <v>Visitjaipur</v>
      </c>
      <c r="R62" s="3">
        <f t="shared" si="7"/>
        <v>5676</v>
      </c>
    </row>
    <row r="63">
      <c r="A63" s="7" t="s">
        <v>42</v>
      </c>
      <c r="B63" s="8" t="s">
        <v>6</v>
      </c>
      <c r="C63" s="8">
        <v>29700.0</v>
      </c>
      <c r="E63" s="3" t="str">
        <f>IFERROR(__xludf.DUMMYFUNCTION("SPLIT(A63,""|"")")," CHQ/YouTube &amp;/20221030/Visitrajasthan/4564 ")</f>
        <v> CHQ/YouTube &amp;/20221030/Visitrajasthan/4564 </v>
      </c>
      <c r="F63" s="3" t="str">
        <f>IFERROR(__xludf.DUMMYFUNCTION("SPLIT(E63,""/"")")," CHQ")</f>
        <v> CHQ</v>
      </c>
      <c r="G63" s="3" t="str">
        <f>IFERROR(__xludf.DUMMYFUNCTION("""COMPUTED_VALUE"""),"YouTube &amp;")</f>
        <v>YouTube &amp;</v>
      </c>
      <c r="H63" s="3">
        <f>IFERROR(__xludf.DUMMYFUNCTION("""COMPUTED_VALUE"""),2.022103E7)</f>
        <v>20221030</v>
      </c>
      <c r="I63" s="3" t="str">
        <f>IFERROR(__xludf.DUMMYFUNCTION("""COMPUTED_VALUE"""),"Visitrajasthan")</f>
        <v>Visitrajasthan</v>
      </c>
      <c r="J63" s="3">
        <f>IFERROR(__xludf.DUMMYFUNCTION("""COMPUTED_VALUE"""),4564.0)</f>
        <v>4564</v>
      </c>
      <c r="K63" s="3" t="str">
        <f t="shared" ref="K63:L63" si="67">TRIM(F63)</f>
        <v>CHQ</v>
      </c>
      <c r="L63" s="3" t="str">
        <f t="shared" si="67"/>
        <v>YouTube &amp;</v>
      </c>
      <c r="M63" s="3" t="str">
        <f t="shared" si="3"/>
        <v>Youtube &amp;</v>
      </c>
      <c r="N63" s="3" t="str">
        <f>IFERROR(__xludf.DUMMYFUNCTION("SPLIT(M63,""&amp;"")"),"Youtube ")</f>
        <v>Youtube </v>
      </c>
      <c r="O63" s="3" t="str">
        <f t="shared" si="4"/>
        <v>Youtube</v>
      </c>
      <c r="P63" s="3" t="str">
        <f t="shared" si="5"/>
        <v>Visitrajasthan</v>
      </c>
      <c r="Q63" s="3" t="str">
        <f t="shared" si="6"/>
        <v>Visitrajasthan</v>
      </c>
      <c r="R63" s="3">
        <f t="shared" si="7"/>
        <v>4564</v>
      </c>
    </row>
    <row r="64">
      <c r="A64" s="7" t="s">
        <v>91</v>
      </c>
      <c r="B64" s="8" t="s">
        <v>19</v>
      </c>
      <c r="C64" s="8">
        <v>93200.0</v>
      </c>
      <c r="E64" s="3" t="str">
        <f>IFERROR(__xludf.DUMMYFUNCTION("SPLIT(A64,""|"")")," VfS/Instagram/20221107/visitudaipur/4565 ")</f>
        <v> VfS/Instagram/20221107/visitudaipur/4565 </v>
      </c>
      <c r="F64" s="3" t="str">
        <f>IFERROR(__xludf.DUMMYFUNCTION("SPLIT(E64,""/"")")," VfS")</f>
        <v> VfS</v>
      </c>
      <c r="G64" s="3" t="str">
        <f>IFERROR(__xludf.DUMMYFUNCTION("""COMPUTED_VALUE"""),"Instagram")</f>
        <v>Instagram</v>
      </c>
      <c r="H64" s="3">
        <f>IFERROR(__xludf.DUMMYFUNCTION("""COMPUTED_VALUE"""),2.0221107E7)</f>
        <v>20221107</v>
      </c>
      <c r="I64" s="3" t="str">
        <f>IFERROR(__xludf.DUMMYFUNCTION("""COMPUTED_VALUE"""),"visitudaipur")</f>
        <v>visitudaipur</v>
      </c>
      <c r="J64" s="3">
        <f>IFERROR(__xludf.DUMMYFUNCTION("""COMPUTED_VALUE"""),4565.0)</f>
        <v>4565</v>
      </c>
      <c r="K64" s="3" t="str">
        <f t="shared" ref="K64:L64" si="68">TRIM(F64)</f>
        <v>VfS</v>
      </c>
      <c r="L64" s="3" t="str">
        <f t="shared" si="68"/>
        <v>Instagram</v>
      </c>
      <c r="M64" s="3" t="str">
        <f t="shared" si="3"/>
        <v>Instagram</v>
      </c>
      <c r="N64" s="3" t="str">
        <f>IFERROR(__xludf.DUMMYFUNCTION("SPLIT(M64,""&amp;"")"),"Instagram")</f>
        <v>Instagram</v>
      </c>
      <c r="O64" s="3" t="str">
        <f t="shared" si="4"/>
        <v>Instagram</v>
      </c>
      <c r="P64" s="3" t="str">
        <f t="shared" si="5"/>
        <v>visitudaipur</v>
      </c>
      <c r="Q64" s="3" t="str">
        <f t="shared" si="6"/>
        <v>Visitudaipur</v>
      </c>
      <c r="R64" s="3">
        <f t="shared" si="7"/>
        <v>4565</v>
      </c>
    </row>
    <row r="65">
      <c r="A65" s="7" t="s">
        <v>92</v>
      </c>
      <c r="B65" s="8" t="s">
        <v>20</v>
      </c>
      <c r="C65" s="8">
        <v>74300.0</v>
      </c>
      <c r="E65" s="3" t="str">
        <f>IFERROR(__xludf.DUMMYFUNCTION("SPLIT(A65,""|"")")," VIN/OfflINe &amp;/20221225/Visitjodhpur/4566 ")</f>
        <v> VIN/OfflINe &amp;/20221225/Visitjodhpur/4566 </v>
      </c>
      <c r="F65" s="3" t="str">
        <f>IFERROR(__xludf.DUMMYFUNCTION("SPLIT(E65,""/"")")," VIN")</f>
        <v> VIN</v>
      </c>
      <c r="G65" s="3" t="str">
        <f>IFERROR(__xludf.DUMMYFUNCTION("""COMPUTED_VALUE"""),"OfflINe &amp;")</f>
        <v>OfflINe &amp;</v>
      </c>
      <c r="H65" s="3">
        <f>IFERROR(__xludf.DUMMYFUNCTION("""COMPUTED_VALUE"""),2.0221225E7)</f>
        <v>20221225</v>
      </c>
      <c r="I65" s="3" t="str">
        <f>IFERROR(__xludf.DUMMYFUNCTION("""COMPUTED_VALUE"""),"Visitjodhpur")</f>
        <v>Visitjodhpur</v>
      </c>
      <c r="J65" s="3">
        <f>IFERROR(__xludf.DUMMYFUNCTION("""COMPUTED_VALUE"""),4566.0)</f>
        <v>4566</v>
      </c>
      <c r="K65" s="3" t="str">
        <f t="shared" ref="K65:L65" si="69">TRIM(F65)</f>
        <v>VIN</v>
      </c>
      <c r="L65" s="3" t="str">
        <f t="shared" si="69"/>
        <v>OfflINe &amp;</v>
      </c>
      <c r="M65" s="3" t="str">
        <f t="shared" si="3"/>
        <v>Offline &amp;</v>
      </c>
      <c r="N65" s="3" t="str">
        <f>IFERROR(__xludf.DUMMYFUNCTION("SPLIT(M65,""&amp;"")"),"Offline ")</f>
        <v>Offline </v>
      </c>
      <c r="O65" s="3" t="str">
        <f t="shared" si="4"/>
        <v>Offline</v>
      </c>
      <c r="P65" s="3" t="str">
        <f t="shared" si="5"/>
        <v>Visitjodhpur</v>
      </c>
      <c r="Q65" s="3" t="str">
        <f t="shared" si="6"/>
        <v>Visitjodhpur</v>
      </c>
      <c r="R65" s="3">
        <f t="shared" si="7"/>
        <v>4566</v>
      </c>
    </row>
    <row r="66">
      <c r="A66" s="7" t="s">
        <v>45</v>
      </c>
      <c r="B66" s="8" t="s">
        <v>6</v>
      </c>
      <c r="C66" s="8">
        <v>13600.0</v>
      </c>
      <c r="E66" s="3" t="str">
        <f>IFERROR(__xludf.DUMMYFUNCTION("SPLIT(A66,""|"")")," NEFT/Facebook/20221013/Visitjaipur/5676 ")</f>
        <v> NEFT/Facebook/20221013/Visitjaipur/5676 </v>
      </c>
      <c r="F66" s="3" t="str">
        <f>IFERROR(__xludf.DUMMYFUNCTION("SPLIT(E66,""/"")")," NEFT")</f>
        <v> NEFT</v>
      </c>
      <c r="G66" s="3" t="str">
        <f>IFERROR(__xludf.DUMMYFUNCTION("""COMPUTED_VALUE"""),"Facebook")</f>
        <v>Facebook</v>
      </c>
      <c r="H66" s="3">
        <f>IFERROR(__xludf.DUMMYFUNCTION("""COMPUTED_VALUE"""),2.0221013E7)</f>
        <v>20221013</v>
      </c>
      <c r="I66" s="3" t="str">
        <f>IFERROR(__xludf.DUMMYFUNCTION("""COMPUTED_VALUE"""),"Visitjaipur")</f>
        <v>Visitjaipur</v>
      </c>
      <c r="J66" s="3">
        <f>IFERROR(__xludf.DUMMYFUNCTION("""COMPUTED_VALUE"""),5676.0)</f>
        <v>5676</v>
      </c>
      <c r="K66" s="3" t="str">
        <f t="shared" ref="K66:L66" si="70">TRIM(F66)</f>
        <v>NEFT</v>
      </c>
      <c r="L66" s="3" t="str">
        <f t="shared" si="70"/>
        <v>Facebook</v>
      </c>
      <c r="M66" s="3" t="str">
        <f t="shared" si="3"/>
        <v>Facebook</v>
      </c>
      <c r="N66" s="3" t="str">
        <f>IFERROR(__xludf.DUMMYFUNCTION("SPLIT(M66,""&amp;"")"),"Facebook")</f>
        <v>Facebook</v>
      </c>
      <c r="O66" s="3" t="str">
        <f t="shared" si="4"/>
        <v>Facebook</v>
      </c>
      <c r="P66" s="3" t="str">
        <f t="shared" si="5"/>
        <v>Visitjaipur</v>
      </c>
      <c r="Q66" s="3" t="str">
        <f t="shared" si="6"/>
        <v>Visitjaipur</v>
      </c>
      <c r="R66" s="3">
        <f t="shared" si="7"/>
        <v>5676</v>
      </c>
    </row>
    <row r="67">
      <c r="A67" s="7" t="s">
        <v>93</v>
      </c>
      <c r="B67" s="8" t="s">
        <v>6</v>
      </c>
      <c r="C67" s="8">
        <v>42900.0</v>
      </c>
      <c r="E67" s="3" t="str">
        <f>IFERROR(__xludf.DUMMYFUNCTION("SPLIT(A67,""|"")")," VfS/YouTube/20221022/Visitrajasthan/4564 ")</f>
        <v> VfS/YouTube/20221022/Visitrajasthan/4564 </v>
      </c>
      <c r="F67" s="3" t="str">
        <f>IFERROR(__xludf.DUMMYFUNCTION("SPLIT(E67,""/"")")," VfS")</f>
        <v> VfS</v>
      </c>
      <c r="G67" s="3" t="str">
        <f>IFERROR(__xludf.DUMMYFUNCTION("""COMPUTED_VALUE"""),"YouTube")</f>
        <v>YouTube</v>
      </c>
      <c r="H67" s="3">
        <f>IFERROR(__xludf.DUMMYFUNCTION("""COMPUTED_VALUE"""),2.0221022E7)</f>
        <v>20221022</v>
      </c>
      <c r="I67" s="3" t="str">
        <f>IFERROR(__xludf.DUMMYFUNCTION("""COMPUTED_VALUE"""),"Visitrajasthan")</f>
        <v>Visitrajasthan</v>
      </c>
      <c r="J67" s="3">
        <f>IFERROR(__xludf.DUMMYFUNCTION("""COMPUTED_VALUE"""),4564.0)</f>
        <v>4564</v>
      </c>
      <c r="K67" s="3" t="str">
        <f t="shared" ref="K67:L67" si="71">TRIM(F67)</f>
        <v>VfS</v>
      </c>
      <c r="L67" s="3" t="str">
        <f t="shared" si="71"/>
        <v>YouTube</v>
      </c>
      <c r="M67" s="3" t="str">
        <f t="shared" si="3"/>
        <v>Youtube</v>
      </c>
      <c r="N67" s="3" t="str">
        <f>IFERROR(__xludf.DUMMYFUNCTION("SPLIT(M67,""&amp;"")"),"Youtube")</f>
        <v>Youtube</v>
      </c>
      <c r="O67" s="3" t="str">
        <f t="shared" si="4"/>
        <v>Youtube</v>
      </c>
      <c r="P67" s="3" t="str">
        <f t="shared" si="5"/>
        <v>Visitrajasthan</v>
      </c>
      <c r="Q67" s="3" t="str">
        <f t="shared" si="6"/>
        <v>Visitrajasthan</v>
      </c>
      <c r="R67" s="3">
        <f t="shared" si="7"/>
        <v>4564</v>
      </c>
    </row>
    <row r="68">
      <c r="A68" s="7" t="s">
        <v>94</v>
      </c>
      <c r="B68" s="8" t="s">
        <v>6</v>
      </c>
      <c r="C68" s="8">
        <v>62400.0</v>
      </c>
      <c r="E68" s="3" t="str">
        <f>IFERROR(__xludf.DUMMYFUNCTION("SPLIT(A68,""|"")")," CHQ/Instagram/20221027/visitudaipur/4565 ")</f>
        <v> CHQ/Instagram/20221027/visitudaipur/4565 </v>
      </c>
      <c r="F68" s="3" t="str">
        <f>IFERROR(__xludf.DUMMYFUNCTION("SPLIT(E68,""/"")")," CHQ")</f>
        <v> CHQ</v>
      </c>
      <c r="G68" s="3" t="str">
        <f>IFERROR(__xludf.DUMMYFUNCTION("""COMPUTED_VALUE"""),"Instagram")</f>
        <v>Instagram</v>
      </c>
      <c r="H68" s="3">
        <f>IFERROR(__xludf.DUMMYFUNCTION("""COMPUTED_VALUE"""),2.0221027E7)</f>
        <v>20221027</v>
      </c>
      <c r="I68" s="3" t="str">
        <f>IFERROR(__xludf.DUMMYFUNCTION("""COMPUTED_VALUE"""),"visitudaipur")</f>
        <v>visitudaipur</v>
      </c>
      <c r="J68" s="3">
        <f>IFERROR(__xludf.DUMMYFUNCTION("""COMPUTED_VALUE"""),4565.0)</f>
        <v>4565</v>
      </c>
      <c r="K68" s="3" t="str">
        <f t="shared" ref="K68:L68" si="72">TRIM(F68)</f>
        <v>CHQ</v>
      </c>
      <c r="L68" s="3" t="str">
        <f t="shared" si="72"/>
        <v>Instagram</v>
      </c>
      <c r="M68" s="3" t="str">
        <f t="shared" si="3"/>
        <v>Instagram</v>
      </c>
      <c r="N68" s="3" t="str">
        <f>IFERROR(__xludf.DUMMYFUNCTION("SPLIT(M68,""&amp;"")"),"Instagram")</f>
        <v>Instagram</v>
      </c>
      <c r="O68" s="3" t="str">
        <f t="shared" si="4"/>
        <v>Instagram</v>
      </c>
      <c r="P68" s="3" t="str">
        <f t="shared" si="5"/>
        <v>visitudaipur</v>
      </c>
      <c r="Q68" s="3" t="str">
        <f t="shared" si="6"/>
        <v>Visitudaipur</v>
      </c>
      <c r="R68" s="3">
        <f t="shared" si="7"/>
        <v>4565</v>
      </c>
    </row>
    <row r="69">
      <c r="A69" s="7" t="s">
        <v>95</v>
      </c>
      <c r="B69" s="8" t="s">
        <v>6</v>
      </c>
      <c r="C69" s="8">
        <v>78300.0</v>
      </c>
      <c r="E69" s="3" t="str">
        <f>IFERROR(__xludf.DUMMYFUNCTION("SPLIT(A69,""|"")")," VIN/Offline &amp;/20221019/Visitjodhpur/4566 ")</f>
        <v> VIN/Offline &amp;/20221019/Visitjodhpur/4566 </v>
      </c>
      <c r="F69" s="3" t="str">
        <f>IFERROR(__xludf.DUMMYFUNCTION("SPLIT(E69,""/"")")," VIN")</f>
        <v> VIN</v>
      </c>
      <c r="G69" s="3" t="str">
        <f>IFERROR(__xludf.DUMMYFUNCTION("""COMPUTED_VALUE"""),"Offline &amp;")</f>
        <v>Offline &amp;</v>
      </c>
      <c r="H69" s="3">
        <f>IFERROR(__xludf.DUMMYFUNCTION("""COMPUTED_VALUE"""),2.0221019E7)</f>
        <v>20221019</v>
      </c>
      <c r="I69" s="3" t="str">
        <f>IFERROR(__xludf.DUMMYFUNCTION("""COMPUTED_VALUE"""),"Visitjodhpur")</f>
        <v>Visitjodhpur</v>
      </c>
      <c r="J69" s="3">
        <f>IFERROR(__xludf.DUMMYFUNCTION("""COMPUTED_VALUE"""),4566.0)</f>
        <v>4566</v>
      </c>
      <c r="K69" s="3" t="str">
        <f t="shared" ref="K69:L69" si="73">TRIM(F69)</f>
        <v>VIN</v>
      </c>
      <c r="L69" s="3" t="str">
        <f t="shared" si="73"/>
        <v>Offline &amp;</v>
      </c>
      <c r="M69" s="3" t="str">
        <f t="shared" si="3"/>
        <v>Offline &amp;</v>
      </c>
      <c r="N69" s="3" t="str">
        <f>IFERROR(__xludf.DUMMYFUNCTION("SPLIT(M69,""&amp;"")"),"Offline ")</f>
        <v>Offline </v>
      </c>
      <c r="O69" s="3" t="str">
        <f t="shared" si="4"/>
        <v>Offline</v>
      </c>
      <c r="P69" s="3" t="str">
        <f t="shared" si="5"/>
        <v>Visitjodhpur</v>
      </c>
      <c r="Q69" s="3" t="str">
        <f t="shared" si="6"/>
        <v>Visitjodhpur</v>
      </c>
      <c r="R69" s="3">
        <f t="shared" si="7"/>
        <v>4566</v>
      </c>
    </row>
    <row r="70">
      <c r="A70" s="7" t="s">
        <v>96</v>
      </c>
      <c r="B70" s="8" t="s">
        <v>19</v>
      </c>
      <c r="C70" s="8">
        <v>74000.0</v>
      </c>
      <c r="E70" s="3" t="str">
        <f>IFERROR(__xludf.DUMMYFUNCTION("SPLIT(A70,""|"")")," NEFT/Google Ads/20221105/visitJaisalmer/3455 ")</f>
        <v> NEFT/Google Ads/20221105/visitJaisalmer/3455 </v>
      </c>
      <c r="F70" s="3" t="str">
        <f>IFERROR(__xludf.DUMMYFUNCTION("SPLIT(E70,""/"")")," NEFT")</f>
        <v> NEFT</v>
      </c>
      <c r="G70" s="3" t="str">
        <f>IFERROR(__xludf.DUMMYFUNCTION("""COMPUTED_VALUE"""),"Google Ads")</f>
        <v>Google Ads</v>
      </c>
      <c r="H70" s="3">
        <f>IFERROR(__xludf.DUMMYFUNCTION("""COMPUTED_VALUE"""),2.0221105E7)</f>
        <v>20221105</v>
      </c>
      <c r="I70" s="3" t="str">
        <f>IFERROR(__xludf.DUMMYFUNCTION("""COMPUTED_VALUE"""),"visitJaisalmer")</f>
        <v>visitJaisalmer</v>
      </c>
      <c r="J70" s="3">
        <f>IFERROR(__xludf.DUMMYFUNCTION("""COMPUTED_VALUE"""),3455.0)</f>
        <v>3455</v>
      </c>
      <c r="K70" s="3" t="str">
        <f t="shared" ref="K70:L70" si="74">TRIM(F70)</f>
        <v>NEFT</v>
      </c>
      <c r="L70" s="3" t="str">
        <f t="shared" si="74"/>
        <v>Google Ads</v>
      </c>
      <c r="M70" s="3" t="str">
        <f t="shared" si="3"/>
        <v>Google Ads</v>
      </c>
      <c r="N70" s="3" t="str">
        <f>IFERROR(__xludf.DUMMYFUNCTION("SPLIT(M70,""&amp;"")"),"Google Ads")</f>
        <v>Google Ads</v>
      </c>
      <c r="O70" s="3" t="str">
        <f t="shared" si="4"/>
        <v>Google Ads</v>
      </c>
      <c r="P70" s="3" t="str">
        <f t="shared" si="5"/>
        <v>visitJaisalmer</v>
      </c>
      <c r="Q70" s="3" t="str">
        <f t="shared" si="6"/>
        <v>Visitjaisalmer</v>
      </c>
      <c r="R70" s="3">
        <f t="shared" si="7"/>
        <v>3455</v>
      </c>
    </row>
    <row r="71">
      <c r="A71" s="7" t="s">
        <v>97</v>
      </c>
      <c r="B71" s="8" t="s">
        <v>6</v>
      </c>
      <c r="C71" s="8">
        <v>11000.0</v>
      </c>
      <c r="E71" s="3" t="str">
        <f>IFERROR(__xludf.DUMMYFUNCTION("SPLIT(A71,""|"")")," CHQ/TwiTter/20221008/visitbikaner/5666 ")</f>
        <v> CHQ/TwiTter/20221008/visitbikaner/5666 </v>
      </c>
      <c r="F71" s="3" t="str">
        <f>IFERROR(__xludf.DUMMYFUNCTION("SPLIT(E71,""/"")")," CHQ")</f>
        <v> CHQ</v>
      </c>
      <c r="G71" s="3" t="str">
        <f>IFERROR(__xludf.DUMMYFUNCTION("""COMPUTED_VALUE"""),"TwiTter")</f>
        <v>TwiTter</v>
      </c>
      <c r="H71" s="3">
        <f>IFERROR(__xludf.DUMMYFUNCTION("""COMPUTED_VALUE"""),2.0221008E7)</f>
        <v>20221008</v>
      </c>
      <c r="I71" s="3" t="str">
        <f>IFERROR(__xludf.DUMMYFUNCTION("""COMPUTED_VALUE"""),"visitbikaner")</f>
        <v>visitbikaner</v>
      </c>
      <c r="J71" s="3">
        <f>IFERROR(__xludf.DUMMYFUNCTION("""COMPUTED_VALUE"""),5666.0)</f>
        <v>5666</v>
      </c>
      <c r="K71" s="3" t="str">
        <f t="shared" ref="K71:L71" si="75">TRIM(F71)</f>
        <v>CHQ</v>
      </c>
      <c r="L71" s="3" t="str">
        <f t="shared" si="75"/>
        <v>TwiTter</v>
      </c>
      <c r="M71" s="3" t="str">
        <f t="shared" si="3"/>
        <v>Twitter</v>
      </c>
      <c r="N71" s="3" t="str">
        <f>IFERROR(__xludf.DUMMYFUNCTION("SPLIT(M71,""&amp;"")"),"Twitter")</f>
        <v>Twitter</v>
      </c>
      <c r="O71" s="3" t="str">
        <f t="shared" si="4"/>
        <v>Twitter</v>
      </c>
      <c r="P71" s="3" t="str">
        <f t="shared" si="5"/>
        <v>visitbikaner</v>
      </c>
      <c r="Q71" s="3" t="str">
        <f t="shared" si="6"/>
        <v>Visitbikaner</v>
      </c>
      <c r="R71" s="3">
        <f t="shared" si="7"/>
        <v>5666</v>
      </c>
    </row>
    <row r="72">
      <c r="A72" s="7" t="s">
        <v>51</v>
      </c>
      <c r="B72" s="8" t="s">
        <v>6</v>
      </c>
      <c r="C72" s="8">
        <v>32600.0</v>
      </c>
      <c r="E72" s="3" t="str">
        <f>IFERROR(__xludf.DUMMYFUNCTION("SPLIT(A72,""|"")")," VfS/Facebook/20221016/Visitjaipur/5676 ")</f>
        <v> VfS/Facebook/20221016/Visitjaipur/5676 </v>
      </c>
      <c r="F72" s="3" t="str">
        <f>IFERROR(__xludf.DUMMYFUNCTION("SPLIT(E72,""/"")")," VfS")</f>
        <v> VfS</v>
      </c>
      <c r="G72" s="3" t="str">
        <f>IFERROR(__xludf.DUMMYFUNCTION("""COMPUTED_VALUE"""),"Facebook")</f>
        <v>Facebook</v>
      </c>
      <c r="H72" s="3">
        <f>IFERROR(__xludf.DUMMYFUNCTION("""COMPUTED_VALUE"""),2.0221016E7)</f>
        <v>20221016</v>
      </c>
      <c r="I72" s="3" t="str">
        <f>IFERROR(__xludf.DUMMYFUNCTION("""COMPUTED_VALUE"""),"Visitjaipur")</f>
        <v>Visitjaipur</v>
      </c>
      <c r="J72" s="3">
        <f>IFERROR(__xludf.DUMMYFUNCTION("""COMPUTED_VALUE"""),5676.0)</f>
        <v>5676</v>
      </c>
      <c r="K72" s="3" t="str">
        <f t="shared" ref="K72:L72" si="76">TRIM(F72)</f>
        <v>VfS</v>
      </c>
      <c r="L72" s="3" t="str">
        <f t="shared" si="76"/>
        <v>Facebook</v>
      </c>
      <c r="M72" s="3" t="str">
        <f t="shared" si="3"/>
        <v>Facebook</v>
      </c>
      <c r="N72" s="3" t="str">
        <f>IFERROR(__xludf.DUMMYFUNCTION("SPLIT(M72,""&amp;"")"),"Facebook")</f>
        <v>Facebook</v>
      </c>
      <c r="O72" s="3" t="str">
        <f t="shared" si="4"/>
        <v>Facebook</v>
      </c>
      <c r="P72" s="3" t="str">
        <f t="shared" si="5"/>
        <v>Visitjaipur</v>
      </c>
      <c r="Q72" s="3" t="str">
        <f t="shared" si="6"/>
        <v>Visitjaipur</v>
      </c>
      <c r="R72" s="3">
        <f t="shared" si="7"/>
        <v>5676</v>
      </c>
    </row>
    <row r="73">
      <c r="A73" s="7" t="s">
        <v>98</v>
      </c>
      <c r="B73" s="8" t="s">
        <v>6</v>
      </c>
      <c r="C73" s="8">
        <v>48800.0</v>
      </c>
      <c r="E73" s="3" t="str">
        <f>IFERROR(__xludf.DUMMYFUNCTION("SPLIT(A73,""|"")")," NEFT/YouTube &amp;/20221024/Visitrajasthan/4564 ")</f>
        <v> NEFT/YouTube &amp;/20221024/Visitrajasthan/4564 </v>
      </c>
      <c r="F73" s="3" t="str">
        <f>IFERROR(__xludf.DUMMYFUNCTION("SPLIT(E73,""/"")")," NEFT")</f>
        <v> NEFT</v>
      </c>
      <c r="G73" s="3" t="str">
        <f>IFERROR(__xludf.DUMMYFUNCTION("""COMPUTED_VALUE"""),"YouTube &amp;")</f>
        <v>YouTube &amp;</v>
      </c>
      <c r="H73" s="3">
        <f>IFERROR(__xludf.DUMMYFUNCTION("""COMPUTED_VALUE"""),2.0221024E7)</f>
        <v>20221024</v>
      </c>
      <c r="I73" s="3" t="str">
        <f>IFERROR(__xludf.DUMMYFUNCTION("""COMPUTED_VALUE"""),"Visitrajasthan")</f>
        <v>Visitrajasthan</v>
      </c>
      <c r="J73" s="3">
        <f>IFERROR(__xludf.DUMMYFUNCTION("""COMPUTED_VALUE"""),4564.0)</f>
        <v>4564</v>
      </c>
      <c r="K73" s="3" t="str">
        <f t="shared" ref="K73:L73" si="77">TRIM(F73)</f>
        <v>NEFT</v>
      </c>
      <c r="L73" s="3" t="str">
        <f t="shared" si="77"/>
        <v>YouTube &amp;</v>
      </c>
      <c r="M73" s="3" t="str">
        <f t="shared" si="3"/>
        <v>Youtube &amp;</v>
      </c>
      <c r="N73" s="3" t="str">
        <f>IFERROR(__xludf.DUMMYFUNCTION("SPLIT(M73,""&amp;"")"),"Youtube ")</f>
        <v>Youtube </v>
      </c>
      <c r="O73" s="3" t="str">
        <f t="shared" si="4"/>
        <v>Youtube</v>
      </c>
      <c r="P73" s="3" t="str">
        <f t="shared" si="5"/>
        <v>Visitrajasthan</v>
      </c>
      <c r="Q73" s="3" t="str">
        <f t="shared" si="6"/>
        <v>Visitrajasthan</v>
      </c>
      <c r="R73" s="3">
        <f t="shared" si="7"/>
        <v>4564</v>
      </c>
    </row>
    <row r="74">
      <c r="A74" s="7" t="s">
        <v>99</v>
      </c>
      <c r="B74" s="8" t="s">
        <v>19</v>
      </c>
      <c r="C74" s="8">
        <v>13300.0</v>
      </c>
      <c r="E74" s="3" t="str">
        <f>IFERROR(__xludf.DUMMYFUNCTION("SPLIT(A74,""|"")")," VfS/Instagram/20221109/visitudaipur/4565 ")</f>
        <v> VfS/Instagram/20221109/visitudaipur/4565 </v>
      </c>
      <c r="F74" s="3" t="str">
        <f>IFERROR(__xludf.DUMMYFUNCTION("SPLIT(E74,""/"")")," VfS")</f>
        <v> VfS</v>
      </c>
      <c r="G74" s="3" t="str">
        <f>IFERROR(__xludf.DUMMYFUNCTION("""COMPUTED_VALUE"""),"Instagram")</f>
        <v>Instagram</v>
      </c>
      <c r="H74" s="3">
        <f>IFERROR(__xludf.DUMMYFUNCTION("""COMPUTED_VALUE"""),2.0221109E7)</f>
        <v>20221109</v>
      </c>
      <c r="I74" s="3" t="str">
        <f>IFERROR(__xludf.DUMMYFUNCTION("""COMPUTED_VALUE"""),"visitudaipur")</f>
        <v>visitudaipur</v>
      </c>
      <c r="J74" s="3">
        <f>IFERROR(__xludf.DUMMYFUNCTION("""COMPUTED_VALUE"""),4565.0)</f>
        <v>4565</v>
      </c>
      <c r="K74" s="3" t="str">
        <f t="shared" ref="K74:L74" si="78">TRIM(F74)</f>
        <v>VfS</v>
      </c>
      <c r="L74" s="3" t="str">
        <f t="shared" si="78"/>
        <v>Instagram</v>
      </c>
      <c r="M74" s="3" t="str">
        <f t="shared" si="3"/>
        <v>Instagram</v>
      </c>
      <c r="N74" s="3" t="str">
        <f>IFERROR(__xludf.DUMMYFUNCTION("SPLIT(M74,""&amp;"")"),"Instagram")</f>
        <v>Instagram</v>
      </c>
      <c r="O74" s="3" t="str">
        <f t="shared" si="4"/>
        <v>Instagram</v>
      </c>
      <c r="P74" s="3" t="str">
        <f t="shared" si="5"/>
        <v>visitudaipur</v>
      </c>
      <c r="Q74" s="3" t="str">
        <f t="shared" si="6"/>
        <v>Visitudaipur</v>
      </c>
      <c r="R74" s="3">
        <f t="shared" si="7"/>
        <v>4565</v>
      </c>
    </row>
    <row r="75">
      <c r="A75" s="7" t="s">
        <v>100</v>
      </c>
      <c r="B75" s="8" t="s">
        <v>6</v>
      </c>
      <c r="C75" s="8">
        <v>58600.0</v>
      </c>
      <c r="E75" s="3" t="str">
        <f>IFERROR(__xludf.DUMMYFUNCTION("SPLIT(A75,""|"")")," VIN/OfflINe &amp;/20221023/Visitjodhpur/4566 ")</f>
        <v> VIN/OfflINe &amp;/20221023/Visitjodhpur/4566 </v>
      </c>
      <c r="F75" s="3" t="str">
        <f>IFERROR(__xludf.DUMMYFUNCTION("SPLIT(E75,""/"")")," VIN")</f>
        <v> VIN</v>
      </c>
      <c r="G75" s="3" t="str">
        <f>IFERROR(__xludf.DUMMYFUNCTION("""COMPUTED_VALUE"""),"OfflINe &amp;")</f>
        <v>OfflINe &amp;</v>
      </c>
      <c r="H75" s="3">
        <f>IFERROR(__xludf.DUMMYFUNCTION("""COMPUTED_VALUE"""),2.0221023E7)</f>
        <v>20221023</v>
      </c>
      <c r="I75" s="3" t="str">
        <f>IFERROR(__xludf.DUMMYFUNCTION("""COMPUTED_VALUE"""),"Visitjodhpur")</f>
        <v>Visitjodhpur</v>
      </c>
      <c r="J75" s="3">
        <f>IFERROR(__xludf.DUMMYFUNCTION("""COMPUTED_VALUE"""),4566.0)</f>
        <v>4566</v>
      </c>
      <c r="K75" s="3" t="str">
        <f t="shared" ref="K75:L75" si="79">TRIM(F75)</f>
        <v>VIN</v>
      </c>
      <c r="L75" s="3" t="str">
        <f t="shared" si="79"/>
        <v>OfflINe &amp;</v>
      </c>
      <c r="M75" s="3" t="str">
        <f t="shared" si="3"/>
        <v>Offline &amp;</v>
      </c>
      <c r="N75" s="3" t="str">
        <f>IFERROR(__xludf.DUMMYFUNCTION("SPLIT(M75,""&amp;"")"),"Offline ")</f>
        <v>Offline </v>
      </c>
      <c r="O75" s="3" t="str">
        <f t="shared" si="4"/>
        <v>Offline</v>
      </c>
      <c r="P75" s="3" t="str">
        <f t="shared" si="5"/>
        <v>Visitjodhpur</v>
      </c>
      <c r="Q75" s="3" t="str">
        <f t="shared" si="6"/>
        <v>Visitjodhpur</v>
      </c>
      <c r="R75" s="3">
        <f t="shared" si="7"/>
        <v>4566</v>
      </c>
    </row>
    <row r="76">
      <c r="A76" s="7" t="s">
        <v>55</v>
      </c>
      <c r="B76" s="8" t="s">
        <v>19</v>
      </c>
      <c r="C76" s="8">
        <v>80400.0</v>
      </c>
      <c r="E76" s="3" t="str">
        <f>IFERROR(__xludf.DUMMYFUNCTION("SPLIT(A76,""|"")")," CHQ/Facebook/20221107/Visitjaipur/5676 ")</f>
        <v> CHQ/Facebook/20221107/Visitjaipur/5676 </v>
      </c>
      <c r="F76" s="3" t="str">
        <f>IFERROR(__xludf.DUMMYFUNCTION("SPLIT(E76,""/"")")," CHQ")</f>
        <v> CHQ</v>
      </c>
      <c r="G76" s="3" t="str">
        <f>IFERROR(__xludf.DUMMYFUNCTION("""COMPUTED_VALUE"""),"Facebook")</f>
        <v>Facebook</v>
      </c>
      <c r="H76" s="3">
        <f>IFERROR(__xludf.DUMMYFUNCTION("""COMPUTED_VALUE"""),2.0221107E7)</f>
        <v>20221107</v>
      </c>
      <c r="I76" s="3" t="str">
        <f>IFERROR(__xludf.DUMMYFUNCTION("""COMPUTED_VALUE"""),"Visitjaipur")</f>
        <v>Visitjaipur</v>
      </c>
      <c r="J76" s="3">
        <f>IFERROR(__xludf.DUMMYFUNCTION("""COMPUTED_VALUE"""),5676.0)</f>
        <v>5676</v>
      </c>
      <c r="K76" s="3" t="str">
        <f t="shared" ref="K76:L76" si="80">TRIM(F76)</f>
        <v>CHQ</v>
      </c>
      <c r="L76" s="3" t="str">
        <f t="shared" si="80"/>
        <v>Facebook</v>
      </c>
      <c r="M76" s="3" t="str">
        <f t="shared" si="3"/>
        <v>Facebook</v>
      </c>
      <c r="N76" s="3" t="str">
        <f>IFERROR(__xludf.DUMMYFUNCTION("SPLIT(M76,""&amp;"")"),"Facebook")</f>
        <v>Facebook</v>
      </c>
      <c r="O76" s="3" t="str">
        <f t="shared" si="4"/>
        <v>Facebook</v>
      </c>
      <c r="P76" s="3" t="str">
        <f t="shared" si="5"/>
        <v>Visitjaipur</v>
      </c>
      <c r="Q76" s="3" t="str">
        <f t="shared" si="6"/>
        <v>Visitjaipur</v>
      </c>
      <c r="R76" s="3">
        <f t="shared" si="7"/>
        <v>5676</v>
      </c>
    </row>
    <row r="77">
      <c r="A77" s="7" t="s">
        <v>56</v>
      </c>
      <c r="B77" s="8" t="s">
        <v>19</v>
      </c>
      <c r="C77" s="8">
        <v>75400.0</v>
      </c>
      <c r="E77" s="3" t="str">
        <f>IFERROR(__xludf.DUMMYFUNCTION("SPLIT(A77,""|"")")," VfS/YouTube/20221121/Visitrajasthan/4564 ")</f>
        <v> VfS/YouTube/20221121/Visitrajasthan/4564 </v>
      </c>
      <c r="F77" s="3" t="str">
        <f>IFERROR(__xludf.DUMMYFUNCTION("SPLIT(E77,""/"")")," VfS")</f>
        <v> VfS</v>
      </c>
      <c r="G77" s="3" t="str">
        <f>IFERROR(__xludf.DUMMYFUNCTION("""COMPUTED_VALUE"""),"YouTube")</f>
        <v>YouTube</v>
      </c>
      <c r="H77" s="3">
        <f>IFERROR(__xludf.DUMMYFUNCTION("""COMPUTED_VALUE"""),2.0221121E7)</f>
        <v>20221121</v>
      </c>
      <c r="I77" s="3" t="str">
        <f>IFERROR(__xludf.DUMMYFUNCTION("""COMPUTED_VALUE"""),"Visitrajasthan")</f>
        <v>Visitrajasthan</v>
      </c>
      <c r="J77" s="3">
        <f>IFERROR(__xludf.DUMMYFUNCTION("""COMPUTED_VALUE"""),4564.0)</f>
        <v>4564</v>
      </c>
      <c r="K77" s="3" t="str">
        <f t="shared" ref="K77:L77" si="81">TRIM(F77)</f>
        <v>VfS</v>
      </c>
      <c r="L77" s="3" t="str">
        <f t="shared" si="81"/>
        <v>YouTube</v>
      </c>
      <c r="M77" s="3" t="str">
        <f t="shared" si="3"/>
        <v>Youtube</v>
      </c>
      <c r="N77" s="3" t="str">
        <f>IFERROR(__xludf.DUMMYFUNCTION("SPLIT(M77,""&amp;"")"),"Youtube")</f>
        <v>Youtube</v>
      </c>
      <c r="O77" s="3" t="str">
        <f t="shared" si="4"/>
        <v>Youtube</v>
      </c>
      <c r="P77" s="3" t="str">
        <f t="shared" si="5"/>
        <v>Visitrajasthan</v>
      </c>
      <c r="Q77" s="3" t="str">
        <f t="shared" si="6"/>
        <v>Visitrajasthan</v>
      </c>
      <c r="R77" s="3">
        <f t="shared" si="7"/>
        <v>4564</v>
      </c>
    </row>
    <row r="78">
      <c r="A78" s="7" t="s">
        <v>57</v>
      </c>
      <c r="B78" s="8" t="s">
        <v>19</v>
      </c>
      <c r="C78" s="8">
        <v>81600.0</v>
      </c>
      <c r="E78" s="3" t="str">
        <f>IFERROR(__xludf.DUMMYFUNCTION("SPLIT(A78,""|"")")," NEFT/Instagram/20221124/visitudaipur/4565 ")</f>
        <v> NEFT/Instagram/20221124/visitudaipur/4565 </v>
      </c>
      <c r="F78" s="3" t="str">
        <f>IFERROR(__xludf.DUMMYFUNCTION("SPLIT(E78,""/"")")," NEFT")</f>
        <v> NEFT</v>
      </c>
      <c r="G78" s="3" t="str">
        <f>IFERROR(__xludf.DUMMYFUNCTION("""COMPUTED_VALUE"""),"Instagram")</f>
        <v>Instagram</v>
      </c>
      <c r="H78" s="3">
        <f>IFERROR(__xludf.DUMMYFUNCTION("""COMPUTED_VALUE"""),2.0221124E7)</f>
        <v>20221124</v>
      </c>
      <c r="I78" s="3" t="str">
        <f>IFERROR(__xludf.DUMMYFUNCTION("""COMPUTED_VALUE"""),"visitudaipur")</f>
        <v>visitudaipur</v>
      </c>
      <c r="J78" s="3">
        <f>IFERROR(__xludf.DUMMYFUNCTION("""COMPUTED_VALUE"""),4565.0)</f>
        <v>4565</v>
      </c>
      <c r="K78" s="3" t="str">
        <f t="shared" ref="K78:L78" si="82">TRIM(F78)</f>
        <v>NEFT</v>
      </c>
      <c r="L78" s="3" t="str">
        <f t="shared" si="82"/>
        <v>Instagram</v>
      </c>
      <c r="M78" s="3" t="str">
        <f t="shared" si="3"/>
        <v>Instagram</v>
      </c>
      <c r="N78" s="3" t="str">
        <f>IFERROR(__xludf.DUMMYFUNCTION("SPLIT(M78,""&amp;"")"),"Instagram")</f>
        <v>Instagram</v>
      </c>
      <c r="O78" s="3" t="str">
        <f t="shared" si="4"/>
        <v>Instagram</v>
      </c>
      <c r="P78" s="3" t="str">
        <f t="shared" si="5"/>
        <v>visitudaipur</v>
      </c>
      <c r="Q78" s="3" t="str">
        <f t="shared" si="6"/>
        <v>Visitudaipur</v>
      </c>
      <c r="R78" s="3">
        <f t="shared" si="7"/>
        <v>4565</v>
      </c>
    </row>
    <row r="79">
      <c r="A79" s="7" t="s">
        <v>101</v>
      </c>
      <c r="B79" s="8" t="s">
        <v>20</v>
      </c>
      <c r="C79" s="8">
        <v>30900.0</v>
      </c>
      <c r="E79" s="3" t="str">
        <f>IFERROR(__xludf.DUMMYFUNCTION("SPLIT(A79,""|"")")," CHQ/Offline &amp;/20221207/Visitjodhpur/4566 ")</f>
        <v> CHQ/Offline &amp;/20221207/Visitjodhpur/4566 </v>
      </c>
      <c r="F79" s="3" t="str">
        <f>IFERROR(__xludf.DUMMYFUNCTION("SPLIT(E79,""/"")")," CHQ")</f>
        <v> CHQ</v>
      </c>
      <c r="G79" s="3" t="str">
        <f>IFERROR(__xludf.DUMMYFUNCTION("""COMPUTED_VALUE"""),"Offline &amp;")</f>
        <v>Offline &amp;</v>
      </c>
      <c r="H79" s="3">
        <f>IFERROR(__xludf.DUMMYFUNCTION("""COMPUTED_VALUE"""),2.0221207E7)</f>
        <v>20221207</v>
      </c>
      <c r="I79" s="3" t="str">
        <f>IFERROR(__xludf.DUMMYFUNCTION("""COMPUTED_VALUE"""),"Visitjodhpur")</f>
        <v>Visitjodhpur</v>
      </c>
      <c r="J79" s="3">
        <f>IFERROR(__xludf.DUMMYFUNCTION("""COMPUTED_VALUE"""),4566.0)</f>
        <v>4566</v>
      </c>
      <c r="K79" s="3" t="str">
        <f t="shared" ref="K79:L79" si="83">TRIM(F79)</f>
        <v>CHQ</v>
      </c>
      <c r="L79" s="3" t="str">
        <f t="shared" si="83"/>
        <v>Offline &amp;</v>
      </c>
      <c r="M79" s="3" t="str">
        <f t="shared" si="3"/>
        <v>Offline &amp;</v>
      </c>
      <c r="N79" s="3" t="str">
        <f>IFERROR(__xludf.DUMMYFUNCTION("SPLIT(M79,""&amp;"")"),"Offline ")</f>
        <v>Offline </v>
      </c>
      <c r="O79" s="3" t="str">
        <f t="shared" si="4"/>
        <v>Offline</v>
      </c>
      <c r="P79" s="3" t="str">
        <f t="shared" si="5"/>
        <v>Visitjodhpur</v>
      </c>
      <c r="Q79" s="3" t="str">
        <f t="shared" si="6"/>
        <v>Visitjodhpur</v>
      </c>
      <c r="R79" s="3">
        <f t="shared" si="7"/>
        <v>4566</v>
      </c>
    </row>
    <row r="80">
      <c r="A80" s="7" t="s">
        <v>59</v>
      </c>
      <c r="B80" s="8" t="s">
        <v>20</v>
      </c>
      <c r="C80" s="8">
        <v>17300.0</v>
      </c>
      <c r="E80" s="3" t="str">
        <f>IFERROR(__xludf.DUMMYFUNCTION("SPLIT(A80,""|"")")," VfS/Google Ads/20221212/visitJaisalmer/3455 ")</f>
        <v> VfS/Google Ads/20221212/visitJaisalmer/3455 </v>
      </c>
      <c r="F80" s="3" t="str">
        <f>IFERROR(__xludf.DUMMYFUNCTION("SPLIT(E80,""/"")")," VfS")</f>
        <v> VfS</v>
      </c>
      <c r="G80" s="3" t="str">
        <f>IFERROR(__xludf.DUMMYFUNCTION("""COMPUTED_VALUE"""),"Google Ads")</f>
        <v>Google Ads</v>
      </c>
      <c r="H80" s="3">
        <f>IFERROR(__xludf.DUMMYFUNCTION("""COMPUTED_VALUE"""),2.0221212E7)</f>
        <v>20221212</v>
      </c>
      <c r="I80" s="3" t="str">
        <f>IFERROR(__xludf.DUMMYFUNCTION("""COMPUTED_VALUE"""),"visitJaisalmer")</f>
        <v>visitJaisalmer</v>
      </c>
      <c r="J80" s="3">
        <f>IFERROR(__xludf.DUMMYFUNCTION("""COMPUTED_VALUE"""),3455.0)</f>
        <v>3455</v>
      </c>
      <c r="K80" s="3" t="str">
        <f t="shared" ref="K80:L80" si="84">TRIM(F80)</f>
        <v>VfS</v>
      </c>
      <c r="L80" s="3" t="str">
        <f t="shared" si="84"/>
        <v>Google Ads</v>
      </c>
      <c r="M80" s="3" t="str">
        <f t="shared" si="3"/>
        <v>Google Ads</v>
      </c>
      <c r="N80" s="3" t="str">
        <f>IFERROR(__xludf.DUMMYFUNCTION("SPLIT(M80,""&amp;"")"),"Google Ads")</f>
        <v>Google Ads</v>
      </c>
      <c r="O80" s="3" t="str">
        <f t="shared" si="4"/>
        <v>Google Ads</v>
      </c>
      <c r="P80" s="3" t="str">
        <f t="shared" si="5"/>
        <v>visitJaisalmer</v>
      </c>
      <c r="Q80" s="3" t="str">
        <f t="shared" si="6"/>
        <v>Visitjaisalmer</v>
      </c>
      <c r="R80" s="3">
        <f t="shared" si="7"/>
        <v>3455</v>
      </c>
    </row>
    <row r="81">
      <c r="A81" s="7" t="s">
        <v>102</v>
      </c>
      <c r="B81" s="8" t="s">
        <v>19</v>
      </c>
      <c r="C81" s="8">
        <v>34700.0</v>
      </c>
      <c r="E81" s="3" t="str">
        <f>IFERROR(__xludf.DUMMYFUNCTION("SPLIT(A81,""|"")")," VIN/TwiTter/20221115/visitbikaner/5666 ")</f>
        <v> VIN/TwiTter/20221115/visitbikaner/5666 </v>
      </c>
      <c r="F81" s="3" t="str">
        <f>IFERROR(__xludf.DUMMYFUNCTION("SPLIT(E81,""/"")")," VIN")</f>
        <v> VIN</v>
      </c>
      <c r="G81" s="3" t="str">
        <f>IFERROR(__xludf.DUMMYFUNCTION("""COMPUTED_VALUE"""),"TwiTter")</f>
        <v>TwiTter</v>
      </c>
      <c r="H81" s="3">
        <f>IFERROR(__xludf.DUMMYFUNCTION("""COMPUTED_VALUE"""),2.0221115E7)</f>
        <v>20221115</v>
      </c>
      <c r="I81" s="3" t="str">
        <f>IFERROR(__xludf.DUMMYFUNCTION("""COMPUTED_VALUE"""),"visitbikaner")</f>
        <v>visitbikaner</v>
      </c>
      <c r="J81" s="3">
        <f>IFERROR(__xludf.DUMMYFUNCTION("""COMPUTED_VALUE"""),5666.0)</f>
        <v>5666</v>
      </c>
      <c r="K81" s="3" t="str">
        <f t="shared" ref="K81:L81" si="85">TRIM(F81)</f>
        <v>VIN</v>
      </c>
      <c r="L81" s="3" t="str">
        <f t="shared" si="85"/>
        <v>TwiTter</v>
      </c>
      <c r="M81" s="3" t="str">
        <f t="shared" si="3"/>
        <v>Twitter</v>
      </c>
      <c r="N81" s="3" t="str">
        <f>IFERROR(__xludf.DUMMYFUNCTION("SPLIT(M81,""&amp;"")"),"Twitter")</f>
        <v>Twitter</v>
      </c>
      <c r="O81" s="3" t="str">
        <f t="shared" si="4"/>
        <v>Twitter</v>
      </c>
      <c r="P81" s="3" t="str">
        <f t="shared" si="5"/>
        <v>visitbikaner</v>
      </c>
      <c r="Q81" s="3" t="str">
        <f t="shared" si="6"/>
        <v>Visitbikaner</v>
      </c>
      <c r="R81" s="3">
        <f t="shared" si="7"/>
        <v>5666</v>
      </c>
    </row>
    <row r="82">
      <c r="A82" s="7" t="s">
        <v>61</v>
      </c>
      <c r="B82" s="8" t="s">
        <v>19</v>
      </c>
      <c r="C82" s="8">
        <v>69800.0</v>
      </c>
      <c r="E82" s="3" t="str">
        <f>IFERROR(__xludf.DUMMYFUNCTION("SPLIT(A82,""|"")")," NEFT/Facebook/20221126/Visitjaipur/5676 ")</f>
        <v> NEFT/Facebook/20221126/Visitjaipur/5676 </v>
      </c>
      <c r="F82" s="3" t="str">
        <f>IFERROR(__xludf.DUMMYFUNCTION("SPLIT(E82,""/"")")," NEFT")</f>
        <v> NEFT</v>
      </c>
      <c r="G82" s="3" t="str">
        <f>IFERROR(__xludf.DUMMYFUNCTION("""COMPUTED_VALUE"""),"Facebook")</f>
        <v>Facebook</v>
      </c>
      <c r="H82" s="3">
        <f>IFERROR(__xludf.DUMMYFUNCTION("""COMPUTED_VALUE"""),2.0221126E7)</f>
        <v>20221126</v>
      </c>
      <c r="I82" s="3" t="str">
        <f>IFERROR(__xludf.DUMMYFUNCTION("""COMPUTED_VALUE"""),"Visitjaipur")</f>
        <v>Visitjaipur</v>
      </c>
      <c r="J82" s="3">
        <f>IFERROR(__xludf.DUMMYFUNCTION("""COMPUTED_VALUE"""),5676.0)</f>
        <v>5676</v>
      </c>
      <c r="K82" s="3" t="str">
        <f t="shared" ref="K82:L82" si="86">TRIM(F82)</f>
        <v>NEFT</v>
      </c>
      <c r="L82" s="3" t="str">
        <f t="shared" si="86"/>
        <v>Facebook</v>
      </c>
      <c r="M82" s="3" t="str">
        <f t="shared" si="3"/>
        <v>Facebook</v>
      </c>
      <c r="N82" s="3" t="str">
        <f>IFERROR(__xludf.DUMMYFUNCTION("SPLIT(M82,""&amp;"")"),"Facebook")</f>
        <v>Facebook</v>
      </c>
      <c r="O82" s="3" t="str">
        <f t="shared" si="4"/>
        <v>Facebook</v>
      </c>
      <c r="P82" s="3" t="str">
        <f t="shared" si="5"/>
        <v>Visitjaipur</v>
      </c>
      <c r="Q82" s="3" t="str">
        <f t="shared" si="6"/>
        <v>Visitjaipur</v>
      </c>
      <c r="R82" s="3">
        <f t="shared" si="7"/>
        <v>5676</v>
      </c>
    </row>
    <row r="83">
      <c r="A83" s="7" t="s">
        <v>62</v>
      </c>
      <c r="B83" s="8" t="s">
        <v>20</v>
      </c>
      <c r="C83" s="8">
        <v>60900.0</v>
      </c>
      <c r="E83" s="3" t="str">
        <f>IFERROR(__xludf.DUMMYFUNCTION("SPLIT(A83,""|"")")," CHQ/YouTube &amp;/20221203/Visitrajasthan/4564 ")</f>
        <v> CHQ/YouTube &amp;/20221203/Visitrajasthan/4564 </v>
      </c>
      <c r="F83" s="3" t="str">
        <f>IFERROR(__xludf.DUMMYFUNCTION("SPLIT(E83,""/"")")," CHQ")</f>
        <v> CHQ</v>
      </c>
      <c r="G83" s="3" t="str">
        <f>IFERROR(__xludf.DUMMYFUNCTION("""COMPUTED_VALUE"""),"YouTube &amp;")</f>
        <v>YouTube &amp;</v>
      </c>
      <c r="H83" s="3">
        <f>IFERROR(__xludf.DUMMYFUNCTION("""COMPUTED_VALUE"""),2.0221203E7)</f>
        <v>20221203</v>
      </c>
      <c r="I83" s="3" t="str">
        <f>IFERROR(__xludf.DUMMYFUNCTION("""COMPUTED_VALUE"""),"Visitrajasthan")</f>
        <v>Visitrajasthan</v>
      </c>
      <c r="J83" s="3">
        <f>IFERROR(__xludf.DUMMYFUNCTION("""COMPUTED_VALUE"""),4564.0)</f>
        <v>4564</v>
      </c>
      <c r="K83" s="3" t="str">
        <f t="shared" ref="K83:L83" si="87">TRIM(F83)</f>
        <v>CHQ</v>
      </c>
      <c r="L83" s="3" t="str">
        <f t="shared" si="87"/>
        <v>YouTube &amp;</v>
      </c>
      <c r="M83" s="3" t="str">
        <f t="shared" si="3"/>
        <v>Youtube &amp;</v>
      </c>
      <c r="N83" s="3" t="str">
        <f>IFERROR(__xludf.DUMMYFUNCTION("SPLIT(M83,""&amp;"")"),"Youtube ")</f>
        <v>Youtube </v>
      </c>
      <c r="O83" s="3" t="str">
        <f t="shared" si="4"/>
        <v>Youtube</v>
      </c>
      <c r="P83" s="3" t="str">
        <f t="shared" si="5"/>
        <v>Visitrajasthan</v>
      </c>
      <c r="Q83" s="3" t="str">
        <f t="shared" si="6"/>
        <v>Visitrajasthan</v>
      </c>
      <c r="R83" s="3">
        <f t="shared" si="7"/>
        <v>4564</v>
      </c>
    </row>
    <row r="84">
      <c r="A84" s="7" t="s">
        <v>63</v>
      </c>
      <c r="B84" s="8" t="s">
        <v>20</v>
      </c>
      <c r="C84" s="8">
        <v>15100.0</v>
      </c>
      <c r="E84" s="3" t="str">
        <f>IFERROR(__xludf.DUMMYFUNCTION("SPLIT(A84,""|"")")," VfS/Instagram/20221218/visitudaipur/4565 ")</f>
        <v> VfS/Instagram/20221218/visitudaipur/4565 </v>
      </c>
      <c r="F84" s="3" t="str">
        <f>IFERROR(__xludf.DUMMYFUNCTION("SPLIT(E84,""/"")")," VfS")</f>
        <v> VfS</v>
      </c>
      <c r="G84" s="3" t="str">
        <f>IFERROR(__xludf.DUMMYFUNCTION("""COMPUTED_VALUE"""),"Instagram")</f>
        <v>Instagram</v>
      </c>
      <c r="H84" s="3">
        <f>IFERROR(__xludf.DUMMYFUNCTION("""COMPUTED_VALUE"""),2.0221218E7)</f>
        <v>20221218</v>
      </c>
      <c r="I84" s="3" t="str">
        <f>IFERROR(__xludf.DUMMYFUNCTION("""COMPUTED_VALUE"""),"visitudaipur")</f>
        <v>visitudaipur</v>
      </c>
      <c r="J84" s="3">
        <f>IFERROR(__xludf.DUMMYFUNCTION("""COMPUTED_VALUE"""),4565.0)</f>
        <v>4565</v>
      </c>
      <c r="K84" s="3" t="str">
        <f t="shared" ref="K84:L84" si="88">TRIM(F84)</f>
        <v>VfS</v>
      </c>
      <c r="L84" s="3" t="str">
        <f t="shared" si="88"/>
        <v>Instagram</v>
      </c>
      <c r="M84" s="3" t="str">
        <f t="shared" si="3"/>
        <v>Instagram</v>
      </c>
      <c r="N84" s="3" t="str">
        <f>IFERROR(__xludf.DUMMYFUNCTION("SPLIT(M84,""&amp;"")"),"Instagram")</f>
        <v>Instagram</v>
      </c>
      <c r="O84" s="3" t="str">
        <f t="shared" si="4"/>
        <v>Instagram</v>
      </c>
      <c r="P84" s="3" t="str">
        <f t="shared" si="5"/>
        <v>visitudaipur</v>
      </c>
      <c r="Q84" s="3" t="str">
        <f t="shared" si="6"/>
        <v>Visitudaipur</v>
      </c>
      <c r="R84" s="3">
        <f t="shared" si="7"/>
        <v>4565</v>
      </c>
    </row>
    <row r="85">
      <c r="A85" s="7" t="s">
        <v>64</v>
      </c>
      <c r="B85" s="8" t="s">
        <v>20</v>
      </c>
      <c r="C85" s="8">
        <v>38500.0</v>
      </c>
      <c r="E85" s="3" t="str">
        <f>IFERROR(__xludf.DUMMYFUNCTION("SPLIT(A85,""|"")")," VIN/OfflINe &amp;/20221214/Visitjodhpur/4566 ")</f>
        <v> VIN/OfflINe &amp;/20221214/Visitjodhpur/4566 </v>
      </c>
      <c r="F85" s="3" t="str">
        <f>IFERROR(__xludf.DUMMYFUNCTION("SPLIT(E85,""/"")")," VIN")</f>
        <v> VIN</v>
      </c>
      <c r="G85" s="3" t="str">
        <f>IFERROR(__xludf.DUMMYFUNCTION("""COMPUTED_VALUE"""),"OfflINe &amp;")</f>
        <v>OfflINe &amp;</v>
      </c>
      <c r="H85" s="3">
        <f>IFERROR(__xludf.DUMMYFUNCTION("""COMPUTED_VALUE"""),2.0221214E7)</f>
        <v>20221214</v>
      </c>
      <c r="I85" s="3" t="str">
        <f>IFERROR(__xludf.DUMMYFUNCTION("""COMPUTED_VALUE"""),"Visitjodhpur")</f>
        <v>Visitjodhpur</v>
      </c>
      <c r="J85" s="3">
        <f>IFERROR(__xludf.DUMMYFUNCTION("""COMPUTED_VALUE"""),4566.0)</f>
        <v>4566</v>
      </c>
      <c r="K85" s="3" t="str">
        <f t="shared" ref="K85:L85" si="89">TRIM(F85)</f>
        <v>VIN</v>
      </c>
      <c r="L85" s="3" t="str">
        <f t="shared" si="89"/>
        <v>OfflINe &amp;</v>
      </c>
      <c r="M85" s="3" t="str">
        <f t="shared" si="3"/>
        <v>Offline &amp;</v>
      </c>
      <c r="N85" s="3" t="str">
        <f>IFERROR(__xludf.DUMMYFUNCTION("SPLIT(M85,""&amp;"")"),"Offline ")</f>
        <v>Offline </v>
      </c>
      <c r="O85" s="3" t="str">
        <f t="shared" si="4"/>
        <v>Offline</v>
      </c>
      <c r="P85" s="3" t="str">
        <f t="shared" si="5"/>
        <v>Visitjodhpur</v>
      </c>
      <c r="Q85" s="3" t="str">
        <f t="shared" si="6"/>
        <v>Visitjodhpur</v>
      </c>
      <c r="R85" s="3">
        <f t="shared" si="7"/>
        <v>4566</v>
      </c>
    </row>
    <row r="86">
      <c r="A86" s="7" t="s">
        <v>65</v>
      </c>
      <c r="B86" s="8" t="s">
        <v>6</v>
      </c>
      <c r="C86" s="8">
        <v>25300.0</v>
      </c>
      <c r="E86" s="3" t="str">
        <f>IFERROR(__xludf.DUMMYFUNCTION("SPLIT(A86,""|"")")," VfS/Facebook/20221010/Visitjaipur/5676 ")</f>
        <v> VfS/Facebook/20221010/Visitjaipur/5676 </v>
      </c>
      <c r="F86" s="3" t="str">
        <f>IFERROR(__xludf.DUMMYFUNCTION("SPLIT(E86,""/"")")," VfS")</f>
        <v> VfS</v>
      </c>
      <c r="G86" s="3" t="str">
        <f>IFERROR(__xludf.DUMMYFUNCTION("""COMPUTED_VALUE"""),"Facebook")</f>
        <v>Facebook</v>
      </c>
      <c r="H86" s="3">
        <f>IFERROR(__xludf.DUMMYFUNCTION("""COMPUTED_VALUE"""),2.022101E7)</f>
        <v>20221010</v>
      </c>
      <c r="I86" s="3" t="str">
        <f>IFERROR(__xludf.DUMMYFUNCTION("""COMPUTED_VALUE"""),"Visitjaipur")</f>
        <v>Visitjaipur</v>
      </c>
      <c r="J86" s="3">
        <f>IFERROR(__xludf.DUMMYFUNCTION("""COMPUTED_VALUE"""),5676.0)</f>
        <v>5676</v>
      </c>
      <c r="K86" s="3" t="str">
        <f t="shared" ref="K86:L86" si="90">TRIM(F86)</f>
        <v>VfS</v>
      </c>
      <c r="L86" s="3" t="str">
        <f t="shared" si="90"/>
        <v>Facebook</v>
      </c>
      <c r="M86" s="3" t="str">
        <f t="shared" si="3"/>
        <v>Facebook</v>
      </c>
      <c r="N86" s="3" t="str">
        <f>IFERROR(__xludf.DUMMYFUNCTION("SPLIT(M86,""&amp;"")"),"Facebook")</f>
        <v>Facebook</v>
      </c>
      <c r="O86" s="3" t="str">
        <f t="shared" si="4"/>
        <v>Facebook</v>
      </c>
      <c r="P86" s="3" t="str">
        <f t="shared" si="5"/>
        <v>Visitjaipur</v>
      </c>
      <c r="Q86" s="3" t="str">
        <f t="shared" si="6"/>
        <v>Visitjaipur</v>
      </c>
      <c r="R86" s="3">
        <f t="shared" si="7"/>
        <v>5676</v>
      </c>
    </row>
    <row r="87">
      <c r="A87" s="7" t="s">
        <v>103</v>
      </c>
      <c r="B87" s="8" t="s">
        <v>6</v>
      </c>
      <c r="C87" s="8">
        <v>38700.0</v>
      </c>
      <c r="E87" s="3" t="str">
        <f>IFERROR(__xludf.DUMMYFUNCTION("SPLIT(A87,""|"")")," VIN/YouTube/20221026/Visitrajasthan/4564 ")</f>
        <v> VIN/YouTube/20221026/Visitrajasthan/4564 </v>
      </c>
      <c r="F87" s="3" t="str">
        <f>IFERROR(__xludf.DUMMYFUNCTION("SPLIT(E87,""/"")")," VIN")</f>
        <v> VIN</v>
      </c>
      <c r="G87" s="3" t="str">
        <f>IFERROR(__xludf.DUMMYFUNCTION("""COMPUTED_VALUE"""),"YouTube")</f>
        <v>YouTube</v>
      </c>
      <c r="H87" s="3">
        <f>IFERROR(__xludf.DUMMYFUNCTION("""COMPUTED_VALUE"""),2.0221026E7)</f>
        <v>20221026</v>
      </c>
      <c r="I87" s="3" t="str">
        <f>IFERROR(__xludf.DUMMYFUNCTION("""COMPUTED_VALUE"""),"Visitrajasthan")</f>
        <v>Visitrajasthan</v>
      </c>
      <c r="J87" s="3">
        <f>IFERROR(__xludf.DUMMYFUNCTION("""COMPUTED_VALUE"""),4564.0)</f>
        <v>4564</v>
      </c>
      <c r="K87" s="3" t="str">
        <f t="shared" ref="K87:L87" si="91">TRIM(F87)</f>
        <v>VIN</v>
      </c>
      <c r="L87" s="3" t="str">
        <f t="shared" si="91"/>
        <v>YouTube</v>
      </c>
      <c r="M87" s="3" t="str">
        <f t="shared" si="3"/>
        <v>Youtube</v>
      </c>
      <c r="N87" s="3" t="str">
        <f>IFERROR(__xludf.DUMMYFUNCTION("SPLIT(M87,""&amp;"")"),"Youtube")</f>
        <v>Youtube</v>
      </c>
      <c r="O87" s="3" t="str">
        <f t="shared" si="4"/>
        <v>Youtube</v>
      </c>
      <c r="P87" s="3" t="str">
        <f t="shared" si="5"/>
        <v>Visitrajasthan</v>
      </c>
      <c r="Q87" s="3" t="str">
        <f t="shared" si="6"/>
        <v>Visitrajasthan</v>
      </c>
      <c r="R87" s="3">
        <f t="shared" si="7"/>
        <v>4564</v>
      </c>
    </row>
    <row r="88">
      <c r="A88" s="7" t="s">
        <v>104</v>
      </c>
      <c r="B88" s="8" t="s">
        <v>6</v>
      </c>
      <c r="C88" s="8">
        <v>36300.0</v>
      </c>
      <c r="E88" s="3" t="str">
        <f>IFERROR(__xludf.DUMMYFUNCTION("SPLIT(A88,""|"")")," NEFT/Instagram/20221030/visitudaipur/4565 ")</f>
        <v> NEFT/Instagram/20221030/visitudaipur/4565 </v>
      </c>
      <c r="F88" s="3" t="str">
        <f>IFERROR(__xludf.DUMMYFUNCTION("SPLIT(E88,""/"")")," NEFT")</f>
        <v> NEFT</v>
      </c>
      <c r="G88" s="3" t="str">
        <f>IFERROR(__xludf.DUMMYFUNCTION("""COMPUTED_VALUE"""),"Instagram")</f>
        <v>Instagram</v>
      </c>
      <c r="H88" s="3">
        <f>IFERROR(__xludf.DUMMYFUNCTION("""COMPUTED_VALUE"""),2.022103E7)</f>
        <v>20221030</v>
      </c>
      <c r="I88" s="3" t="str">
        <f>IFERROR(__xludf.DUMMYFUNCTION("""COMPUTED_VALUE"""),"visitudaipur")</f>
        <v>visitudaipur</v>
      </c>
      <c r="J88" s="3">
        <f>IFERROR(__xludf.DUMMYFUNCTION("""COMPUTED_VALUE"""),4565.0)</f>
        <v>4565</v>
      </c>
      <c r="K88" s="3" t="str">
        <f t="shared" ref="K88:L88" si="92">TRIM(F88)</f>
        <v>NEFT</v>
      </c>
      <c r="L88" s="3" t="str">
        <f t="shared" si="92"/>
        <v>Instagram</v>
      </c>
      <c r="M88" s="3" t="str">
        <f t="shared" si="3"/>
        <v>Instagram</v>
      </c>
      <c r="N88" s="3" t="str">
        <f>IFERROR(__xludf.DUMMYFUNCTION("SPLIT(M88,""&amp;"")"),"Instagram")</f>
        <v>Instagram</v>
      </c>
      <c r="O88" s="3" t="str">
        <f t="shared" si="4"/>
        <v>Instagram</v>
      </c>
      <c r="P88" s="3" t="str">
        <f t="shared" si="5"/>
        <v>visitudaipur</v>
      </c>
      <c r="Q88" s="3" t="str">
        <f t="shared" si="6"/>
        <v>Visitudaipur</v>
      </c>
      <c r="R88" s="3">
        <f t="shared" si="7"/>
        <v>4565</v>
      </c>
    </row>
    <row r="89">
      <c r="A89" s="7" t="s">
        <v>68</v>
      </c>
      <c r="B89" s="8" t="s">
        <v>6</v>
      </c>
      <c r="C89" s="8">
        <v>23600.0</v>
      </c>
      <c r="E89" s="3" t="str">
        <f>IFERROR(__xludf.DUMMYFUNCTION("SPLIT(A89,""|"")")," CHQ/Offline &amp;/20221015/Visitjodhpur/4566 ")</f>
        <v> CHQ/Offline &amp;/20221015/Visitjodhpur/4566 </v>
      </c>
      <c r="F89" s="3" t="str">
        <f>IFERROR(__xludf.DUMMYFUNCTION("SPLIT(E89,""/"")")," CHQ")</f>
        <v> CHQ</v>
      </c>
      <c r="G89" s="3" t="str">
        <f>IFERROR(__xludf.DUMMYFUNCTION("""COMPUTED_VALUE"""),"Offline &amp;")</f>
        <v>Offline &amp;</v>
      </c>
      <c r="H89" s="3">
        <f>IFERROR(__xludf.DUMMYFUNCTION("""COMPUTED_VALUE"""),2.0221015E7)</f>
        <v>20221015</v>
      </c>
      <c r="I89" s="3" t="str">
        <f>IFERROR(__xludf.DUMMYFUNCTION("""COMPUTED_VALUE"""),"Visitjodhpur")</f>
        <v>Visitjodhpur</v>
      </c>
      <c r="J89" s="3">
        <f>IFERROR(__xludf.DUMMYFUNCTION("""COMPUTED_VALUE"""),4566.0)</f>
        <v>4566</v>
      </c>
      <c r="K89" s="3" t="str">
        <f t="shared" ref="K89:L89" si="93">TRIM(F89)</f>
        <v>CHQ</v>
      </c>
      <c r="L89" s="3" t="str">
        <f t="shared" si="93"/>
        <v>Offline &amp;</v>
      </c>
      <c r="M89" s="3" t="str">
        <f t="shared" si="3"/>
        <v>Offline &amp;</v>
      </c>
      <c r="N89" s="3" t="str">
        <f>IFERROR(__xludf.DUMMYFUNCTION("SPLIT(M89,""&amp;"")"),"Offline ")</f>
        <v>Offline </v>
      </c>
      <c r="O89" s="3" t="str">
        <f t="shared" si="4"/>
        <v>Offline</v>
      </c>
      <c r="P89" s="3" t="str">
        <f t="shared" si="5"/>
        <v>Visitjodhpur</v>
      </c>
      <c r="Q89" s="3" t="str">
        <f t="shared" si="6"/>
        <v>Visitjodhpur</v>
      </c>
      <c r="R89" s="3">
        <f t="shared" si="7"/>
        <v>4566</v>
      </c>
    </row>
    <row r="90">
      <c r="A90" s="7" t="s">
        <v>69</v>
      </c>
      <c r="B90" s="8" t="s">
        <v>19</v>
      </c>
      <c r="C90" s="8">
        <v>88500.0</v>
      </c>
      <c r="E90" s="3" t="str">
        <f>IFERROR(__xludf.DUMMYFUNCTION("SPLIT(A90,""|"")")," VfS/Google Ads/20221121/visitJaisalmer/3455 ")</f>
        <v> VfS/Google Ads/20221121/visitJaisalmer/3455 </v>
      </c>
      <c r="F90" s="3" t="str">
        <f>IFERROR(__xludf.DUMMYFUNCTION("SPLIT(E90,""/"")")," VfS")</f>
        <v> VfS</v>
      </c>
      <c r="G90" s="3" t="str">
        <f>IFERROR(__xludf.DUMMYFUNCTION("""COMPUTED_VALUE"""),"Google Ads")</f>
        <v>Google Ads</v>
      </c>
      <c r="H90" s="3">
        <f>IFERROR(__xludf.DUMMYFUNCTION("""COMPUTED_VALUE"""),2.0221121E7)</f>
        <v>20221121</v>
      </c>
      <c r="I90" s="3" t="str">
        <f>IFERROR(__xludf.DUMMYFUNCTION("""COMPUTED_VALUE"""),"visitJaisalmer")</f>
        <v>visitJaisalmer</v>
      </c>
      <c r="J90" s="3">
        <f>IFERROR(__xludf.DUMMYFUNCTION("""COMPUTED_VALUE"""),3455.0)</f>
        <v>3455</v>
      </c>
      <c r="K90" s="3" t="str">
        <f t="shared" ref="K90:L90" si="94">TRIM(F90)</f>
        <v>VfS</v>
      </c>
      <c r="L90" s="3" t="str">
        <f t="shared" si="94"/>
        <v>Google Ads</v>
      </c>
      <c r="M90" s="3" t="str">
        <f t="shared" si="3"/>
        <v>Google Ads</v>
      </c>
      <c r="N90" s="3" t="str">
        <f>IFERROR(__xludf.DUMMYFUNCTION("SPLIT(M90,""&amp;"")"),"Google Ads")</f>
        <v>Google Ads</v>
      </c>
      <c r="O90" s="3" t="str">
        <f t="shared" si="4"/>
        <v>Google Ads</v>
      </c>
      <c r="P90" s="3" t="str">
        <f t="shared" si="5"/>
        <v>visitJaisalmer</v>
      </c>
      <c r="Q90" s="3" t="str">
        <f t="shared" si="6"/>
        <v>Visitjaisalmer</v>
      </c>
      <c r="R90" s="3">
        <f t="shared" si="7"/>
        <v>3455</v>
      </c>
    </row>
    <row r="91">
      <c r="A91" s="7" t="s">
        <v>105</v>
      </c>
      <c r="B91" s="8" t="s">
        <v>6</v>
      </c>
      <c r="C91" s="8">
        <v>80000.0</v>
      </c>
      <c r="E91" s="3" t="str">
        <f>IFERROR(__xludf.DUMMYFUNCTION("SPLIT(A91,""|"")")," VIN/TwiTter/20221028/visitbikaner/5666 ")</f>
        <v> VIN/TwiTter/20221028/visitbikaner/5666 </v>
      </c>
      <c r="F91" s="3" t="str">
        <f>IFERROR(__xludf.DUMMYFUNCTION("SPLIT(E91,""/"")")," VIN")</f>
        <v> VIN</v>
      </c>
      <c r="G91" s="3" t="str">
        <f>IFERROR(__xludf.DUMMYFUNCTION("""COMPUTED_VALUE"""),"TwiTter")</f>
        <v>TwiTter</v>
      </c>
      <c r="H91" s="3">
        <f>IFERROR(__xludf.DUMMYFUNCTION("""COMPUTED_VALUE"""),2.0221028E7)</f>
        <v>20221028</v>
      </c>
      <c r="I91" s="3" t="str">
        <f>IFERROR(__xludf.DUMMYFUNCTION("""COMPUTED_VALUE"""),"visitbikaner")</f>
        <v>visitbikaner</v>
      </c>
      <c r="J91" s="3">
        <f>IFERROR(__xludf.DUMMYFUNCTION("""COMPUTED_VALUE"""),5666.0)</f>
        <v>5666</v>
      </c>
      <c r="K91" s="3" t="str">
        <f t="shared" ref="K91:L91" si="95">TRIM(F91)</f>
        <v>VIN</v>
      </c>
      <c r="L91" s="3" t="str">
        <f t="shared" si="95"/>
        <v>TwiTter</v>
      </c>
      <c r="M91" s="3" t="str">
        <f t="shared" si="3"/>
        <v>Twitter</v>
      </c>
      <c r="N91" s="3" t="str">
        <f>IFERROR(__xludf.DUMMYFUNCTION("SPLIT(M91,""&amp;"")"),"Twitter")</f>
        <v>Twitter</v>
      </c>
      <c r="O91" s="3" t="str">
        <f t="shared" si="4"/>
        <v>Twitter</v>
      </c>
      <c r="P91" s="3" t="str">
        <f t="shared" si="5"/>
        <v>visitbikaner</v>
      </c>
      <c r="Q91" s="3" t="str">
        <f t="shared" si="6"/>
        <v>Visitbikaner</v>
      </c>
      <c r="R91" s="3">
        <f t="shared" si="7"/>
        <v>5666</v>
      </c>
    </row>
    <row r="92">
      <c r="A92" s="7" t="s">
        <v>71</v>
      </c>
      <c r="B92" s="8" t="s">
        <v>19</v>
      </c>
      <c r="C92" s="8">
        <v>37300.0</v>
      </c>
      <c r="E92" s="3" t="str">
        <f>IFERROR(__xludf.DUMMYFUNCTION("SPLIT(A92,""|"")")," NEFT/Facebook/20221101/Visitjaipur/5676 ")</f>
        <v> NEFT/Facebook/20221101/Visitjaipur/5676 </v>
      </c>
      <c r="F92" s="3" t="str">
        <f>IFERROR(__xludf.DUMMYFUNCTION("SPLIT(E92,""/"")")," NEFT")</f>
        <v> NEFT</v>
      </c>
      <c r="G92" s="3" t="str">
        <f>IFERROR(__xludf.DUMMYFUNCTION("""COMPUTED_VALUE"""),"Facebook")</f>
        <v>Facebook</v>
      </c>
      <c r="H92" s="3">
        <f>IFERROR(__xludf.DUMMYFUNCTION("""COMPUTED_VALUE"""),2.0221101E7)</f>
        <v>20221101</v>
      </c>
      <c r="I92" s="3" t="str">
        <f>IFERROR(__xludf.DUMMYFUNCTION("""COMPUTED_VALUE"""),"Visitjaipur")</f>
        <v>Visitjaipur</v>
      </c>
      <c r="J92" s="3">
        <f>IFERROR(__xludf.DUMMYFUNCTION("""COMPUTED_VALUE"""),5676.0)</f>
        <v>5676</v>
      </c>
      <c r="K92" s="3" t="str">
        <f t="shared" ref="K92:L92" si="96">TRIM(F92)</f>
        <v>NEFT</v>
      </c>
      <c r="L92" s="3" t="str">
        <f t="shared" si="96"/>
        <v>Facebook</v>
      </c>
      <c r="M92" s="3" t="str">
        <f t="shared" si="3"/>
        <v>Facebook</v>
      </c>
      <c r="N92" s="3" t="str">
        <f>IFERROR(__xludf.DUMMYFUNCTION("SPLIT(M92,""&amp;"")"),"Facebook")</f>
        <v>Facebook</v>
      </c>
      <c r="O92" s="3" t="str">
        <f t="shared" si="4"/>
        <v>Facebook</v>
      </c>
      <c r="P92" s="3" t="str">
        <f t="shared" si="5"/>
        <v>Visitjaipur</v>
      </c>
      <c r="Q92" s="3" t="str">
        <f t="shared" si="6"/>
        <v>Visitjaipur</v>
      </c>
      <c r="R92" s="3">
        <f t="shared" si="7"/>
        <v>5676</v>
      </c>
    </row>
    <row r="93">
      <c r="A93" s="7" t="s">
        <v>72</v>
      </c>
      <c r="B93" s="8" t="s">
        <v>19</v>
      </c>
      <c r="C93" s="8">
        <v>39100.0</v>
      </c>
      <c r="E93" s="3" t="str">
        <f>IFERROR(__xludf.DUMMYFUNCTION("SPLIT(A93,""|"")")," CHQ/YouTube &amp;/20221109/Visitrajasthan/4564 ")</f>
        <v> CHQ/YouTube &amp;/20221109/Visitrajasthan/4564 </v>
      </c>
      <c r="F93" s="3" t="str">
        <f>IFERROR(__xludf.DUMMYFUNCTION("SPLIT(E93,""/"")")," CHQ")</f>
        <v> CHQ</v>
      </c>
      <c r="G93" s="3" t="str">
        <f>IFERROR(__xludf.DUMMYFUNCTION("""COMPUTED_VALUE"""),"YouTube &amp;")</f>
        <v>YouTube &amp;</v>
      </c>
      <c r="H93" s="3">
        <f>IFERROR(__xludf.DUMMYFUNCTION("""COMPUTED_VALUE"""),2.0221109E7)</f>
        <v>20221109</v>
      </c>
      <c r="I93" s="3" t="str">
        <f>IFERROR(__xludf.DUMMYFUNCTION("""COMPUTED_VALUE"""),"Visitrajasthan")</f>
        <v>Visitrajasthan</v>
      </c>
      <c r="J93" s="3">
        <f>IFERROR(__xludf.DUMMYFUNCTION("""COMPUTED_VALUE"""),4564.0)</f>
        <v>4564</v>
      </c>
      <c r="K93" s="3" t="str">
        <f t="shared" ref="K93:L93" si="97">TRIM(F93)</f>
        <v>CHQ</v>
      </c>
      <c r="L93" s="3" t="str">
        <f t="shared" si="97"/>
        <v>YouTube &amp;</v>
      </c>
      <c r="M93" s="3" t="str">
        <f t="shared" si="3"/>
        <v>Youtube &amp;</v>
      </c>
      <c r="N93" s="3" t="str">
        <f>IFERROR(__xludf.DUMMYFUNCTION("SPLIT(M93,""&amp;"")"),"Youtube ")</f>
        <v>Youtube </v>
      </c>
      <c r="O93" s="3" t="str">
        <f t="shared" si="4"/>
        <v>Youtube</v>
      </c>
      <c r="P93" s="3" t="str">
        <f t="shared" si="5"/>
        <v>Visitrajasthan</v>
      </c>
      <c r="Q93" s="3" t="str">
        <f t="shared" si="6"/>
        <v>Visitrajasthan</v>
      </c>
      <c r="R93" s="3">
        <f t="shared" si="7"/>
        <v>4564</v>
      </c>
    </row>
    <row r="94">
      <c r="A94" s="7" t="s">
        <v>106</v>
      </c>
      <c r="B94" s="8" t="s">
        <v>19</v>
      </c>
      <c r="C94" s="8">
        <v>17600.0</v>
      </c>
      <c r="E94" s="3" t="str">
        <f>IFERROR(__xludf.DUMMYFUNCTION("SPLIT(A94,""|"")")," VfS/Instagram/20221123/visitudaipur/4565 ")</f>
        <v> VfS/Instagram/20221123/visitudaipur/4565 </v>
      </c>
      <c r="F94" s="3" t="str">
        <f>IFERROR(__xludf.DUMMYFUNCTION("SPLIT(E94,""/"")")," VfS")</f>
        <v> VfS</v>
      </c>
      <c r="G94" s="3" t="str">
        <f>IFERROR(__xludf.DUMMYFUNCTION("""COMPUTED_VALUE"""),"Instagram")</f>
        <v>Instagram</v>
      </c>
      <c r="H94" s="3">
        <f>IFERROR(__xludf.DUMMYFUNCTION("""COMPUTED_VALUE"""),2.0221123E7)</f>
        <v>20221123</v>
      </c>
      <c r="I94" s="3" t="str">
        <f>IFERROR(__xludf.DUMMYFUNCTION("""COMPUTED_VALUE"""),"visitudaipur")</f>
        <v>visitudaipur</v>
      </c>
      <c r="J94" s="3">
        <f>IFERROR(__xludf.DUMMYFUNCTION("""COMPUTED_VALUE"""),4565.0)</f>
        <v>4565</v>
      </c>
      <c r="K94" s="3" t="str">
        <f t="shared" ref="K94:L94" si="98">TRIM(F94)</f>
        <v>VfS</v>
      </c>
      <c r="L94" s="3" t="str">
        <f t="shared" si="98"/>
        <v>Instagram</v>
      </c>
      <c r="M94" s="3" t="str">
        <f t="shared" si="3"/>
        <v>Instagram</v>
      </c>
      <c r="N94" s="3" t="str">
        <f>IFERROR(__xludf.DUMMYFUNCTION("SPLIT(M94,""&amp;"")"),"Instagram")</f>
        <v>Instagram</v>
      </c>
      <c r="O94" s="3" t="str">
        <f t="shared" si="4"/>
        <v>Instagram</v>
      </c>
      <c r="P94" s="3" t="str">
        <f t="shared" si="5"/>
        <v>visitudaipur</v>
      </c>
      <c r="Q94" s="3" t="str">
        <f t="shared" si="6"/>
        <v>Visitudaipur</v>
      </c>
      <c r="R94" s="3">
        <f t="shared" si="7"/>
        <v>4565</v>
      </c>
    </row>
    <row r="95">
      <c r="A95" s="7" t="s">
        <v>107</v>
      </c>
      <c r="B95" s="8" t="s">
        <v>19</v>
      </c>
      <c r="C95" s="8">
        <v>20700.0</v>
      </c>
      <c r="E95" s="3" t="str">
        <f>IFERROR(__xludf.DUMMYFUNCTION("SPLIT(A95,""|"")")," VIN/OfflINe &amp;/20221127/Visitjodhpur/4566 ")</f>
        <v> VIN/OfflINe &amp;/20221127/Visitjodhpur/4566 </v>
      </c>
      <c r="F95" s="3" t="str">
        <f>IFERROR(__xludf.DUMMYFUNCTION("SPLIT(E95,""/"")")," VIN")</f>
        <v> VIN</v>
      </c>
      <c r="G95" s="3" t="str">
        <f>IFERROR(__xludf.DUMMYFUNCTION("""COMPUTED_VALUE"""),"OfflINe &amp;")</f>
        <v>OfflINe &amp;</v>
      </c>
      <c r="H95" s="3">
        <f>IFERROR(__xludf.DUMMYFUNCTION("""COMPUTED_VALUE"""),2.0221127E7)</f>
        <v>20221127</v>
      </c>
      <c r="I95" s="3" t="str">
        <f>IFERROR(__xludf.DUMMYFUNCTION("""COMPUTED_VALUE"""),"Visitjodhpur")</f>
        <v>Visitjodhpur</v>
      </c>
      <c r="J95" s="3">
        <f>IFERROR(__xludf.DUMMYFUNCTION("""COMPUTED_VALUE"""),4566.0)</f>
        <v>4566</v>
      </c>
      <c r="K95" s="3" t="str">
        <f t="shared" ref="K95:L95" si="99">TRIM(F95)</f>
        <v>VIN</v>
      </c>
      <c r="L95" s="3" t="str">
        <f t="shared" si="99"/>
        <v>OfflINe &amp;</v>
      </c>
      <c r="M95" s="3" t="str">
        <f t="shared" si="3"/>
        <v>Offline &amp;</v>
      </c>
      <c r="N95" s="3" t="str">
        <f>IFERROR(__xludf.DUMMYFUNCTION("SPLIT(M95,""&amp;"")"),"Offline ")</f>
        <v>Offline </v>
      </c>
      <c r="O95" s="3" t="str">
        <f t="shared" si="4"/>
        <v>Offline</v>
      </c>
      <c r="P95" s="3" t="str">
        <f t="shared" si="5"/>
        <v>Visitjodhpur</v>
      </c>
      <c r="Q95" s="3" t="str">
        <f t="shared" si="6"/>
        <v>Visitjodhpur</v>
      </c>
      <c r="R95" s="3">
        <f t="shared" si="7"/>
        <v>4566</v>
      </c>
    </row>
    <row r="96">
      <c r="A96" s="7" t="s">
        <v>75</v>
      </c>
      <c r="B96" s="8" t="s">
        <v>20</v>
      </c>
      <c r="C96" s="8">
        <v>92400.0</v>
      </c>
      <c r="E96" s="3" t="str">
        <f>IFERROR(__xludf.DUMMYFUNCTION("SPLIT(A96,""|"")")," CHQ/Facebook/20221214/Visitjaipur/5676 ")</f>
        <v> CHQ/Facebook/20221214/Visitjaipur/5676 </v>
      </c>
      <c r="F96" s="3" t="str">
        <f>IFERROR(__xludf.DUMMYFUNCTION("SPLIT(E96,""/"")")," CHQ")</f>
        <v> CHQ</v>
      </c>
      <c r="G96" s="3" t="str">
        <f>IFERROR(__xludf.DUMMYFUNCTION("""COMPUTED_VALUE"""),"Facebook")</f>
        <v>Facebook</v>
      </c>
      <c r="H96" s="3">
        <f>IFERROR(__xludf.DUMMYFUNCTION("""COMPUTED_VALUE"""),2.0221214E7)</f>
        <v>20221214</v>
      </c>
      <c r="I96" s="3" t="str">
        <f>IFERROR(__xludf.DUMMYFUNCTION("""COMPUTED_VALUE"""),"Visitjaipur")</f>
        <v>Visitjaipur</v>
      </c>
      <c r="J96" s="3">
        <f>IFERROR(__xludf.DUMMYFUNCTION("""COMPUTED_VALUE"""),5676.0)</f>
        <v>5676</v>
      </c>
      <c r="K96" s="3" t="str">
        <f t="shared" ref="K96:L96" si="100">TRIM(F96)</f>
        <v>CHQ</v>
      </c>
      <c r="L96" s="3" t="str">
        <f t="shared" si="100"/>
        <v>Facebook</v>
      </c>
      <c r="M96" s="3" t="str">
        <f t="shared" si="3"/>
        <v>Facebook</v>
      </c>
      <c r="N96" s="3" t="str">
        <f>IFERROR(__xludf.DUMMYFUNCTION("SPLIT(M96,""&amp;"")"),"Facebook")</f>
        <v>Facebook</v>
      </c>
      <c r="O96" s="3" t="str">
        <f t="shared" si="4"/>
        <v>Facebook</v>
      </c>
      <c r="P96" s="3" t="str">
        <f t="shared" si="5"/>
        <v>Visitjaipur</v>
      </c>
      <c r="Q96" s="3" t="str">
        <f t="shared" si="6"/>
        <v>Visitjaipur</v>
      </c>
      <c r="R96" s="3">
        <f t="shared" si="7"/>
        <v>5676</v>
      </c>
    </row>
    <row r="97">
      <c r="A97" s="7" t="s">
        <v>76</v>
      </c>
      <c r="B97" s="8" t="s">
        <v>20</v>
      </c>
      <c r="C97" s="8">
        <v>80000.0</v>
      </c>
      <c r="E97" s="3" t="str">
        <f>IFERROR(__xludf.DUMMYFUNCTION("SPLIT(A97,""|"")")," VfS/YouTube/20221219/Visitrajasthan/4564 ")</f>
        <v> VfS/YouTube/20221219/Visitrajasthan/4564 </v>
      </c>
      <c r="F97" s="3" t="str">
        <f>IFERROR(__xludf.DUMMYFUNCTION("SPLIT(E97,""/"")")," VfS")</f>
        <v> VfS</v>
      </c>
      <c r="G97" s="3" t="str">
        <f>IFERROR(__xludf.DUMMYFUNCTION("""COMPUTED_VALUE"""),"YouTube")</f>
        <v>YouTube</v>
      </c>
      <c r="H97" s="3">
        <f>IFERROR(__xludf.DUMMYFUNCTION("""COMPUTED_VALUE"""),2.0221219E7)</f>
        <v>20221219</v>
      </c>
      <c r="I97" s="3" t="str">
        <f>IFERROR(__xludf.DUMMYFUNCTION("""COMPUTED_VALUE"""),"Visitrajasthan")</f>
        <v>Visitrajasthan</v>
      </c>
      <c r="J97" s="3">
        <f>IFERROR(__xludf.DUMMYFUNCTION("""COMPUTED_VALUE"""),4564.0)</f>
        <v>4564</v>
      </c>
      <c r="K97" s="3" t="str">
        <f t="shared" ref="K97:L97" si="101">TRIM(F97)</f>
        <v>VfS</v>
      </c>
      <c r="L97" s="3" t="str">
        <f t="shared" si="101"/>
        <v>YouTube</v>
      </c>
      <c r="M97" s="3" t="str">
        <f t="shared" si="3"/>
        <v>Youtube</v>
      </c>
      <c r="N97" s="3" t="str">
        <f>IFERROR(__xludf.DUMMYFUNCTION("SPLIT(M97,""&amp;"")"),"Youtube")</f>
        <v>Youtube</v>
      </c>
      <c r="O97" s="3" t="str">
        <f t="shared" si="4"/>
        <v>Youtube</v>
      </c>
      <c r="P97" s="3" t="str">
        <f t="shared" si="5"/>
        <v>Visitrajasthan</v>
      </c>
      <c r="Q97" s="3" t="str">
        <f t="shared" si="6"/>
        <v>Visitrajasthan</v>
      </c>
      <c r="R97" s="3">
        <f t="shared" si="7"/>
        <v>4564</v>
      </c>
    </row>
    <row r="98">
      <c r="A98" s="7" t="s">
        <v>108</v>
      </c>
      <c r="B98" s="8" t="s">
        <v>20</v>
      </c>
      <c r="C98" s="8">
        <v>41800.0</v>
      </c>
      <c r="E98" s="3" t="str">
        <f>IFERROR(__xludf.DUMMYFUNCTION("SPLIT(A98,""|"")")," NEFT/Instagram/20221225/visitudaipur/4565 ")</f>
        <v> NEFT/Instagram/20221225/visitudaipur/4565 </v>
      </c>
      <c r="F98" s="3" t="str">
        <f>IFERROR(__xludf.DUMMYFUNCTION("SPLIT(E98,""/"")")," NEFT")</f>
        <v> NEFT</v>
      </c>
      <c r="G98" s="3" t="str">
        <f>IFERROR(__xludf.DUMMYFUNCTION("""COMPUTED_VALUE"""),"Instagram")</f>
        <v>Instagram</v>
      </c>
      <c r="H98" s="3">
        <f>IFERROR(__xludf.DUMMYFUNCTION("""COMPUTED_VALUE"""),2.0221225E7)</f>
        <v>20221225</v>
      </c>
      <c r="I98" s="3" t="str">
        <f>IFERROR(__xludf.DUMMYFUNCTION("""COMPUTED_VALUE"""),"visitudaipur")</f>
        <v>visitudaipur</v>
      </c>
      <c r="J98" s="3">
        <f>IFERROR(__xludf.DUMMYFUNCTION("""COMPUTED_VALUE"""),4565.0)</f>
        <v>4565</v>
      </c>
      <c r="K98" s="3" t="str">
        <f t="shared" ref="K98:L98" si="102">TRIM(F98)</f>
        <v>NEFT</v>
      </c>
      <c r="L98" s="3" t="str">
        <f t="shared" si="102"/>
        <v>Instagram</v>
      </c>
      <c r="M98" s="3" t="str">
        <f t="shared" si="3"/>
        <v>Instagram</v>
      </c>
      <c r="N98" s="3" t="str">
        <f>IFERROR(__xludf.DUMMYFUNCTION("SPLIT(M98,""&amp;"")"),"Instagram")</f>
        <v>Instagram</v>
      </c>
      <c r="O98" s="3" t="str">
        <f t="shared" si="4"/>
        <v>Instagram</v>
      </c>
      <c r="P98" s="3" t="str">
        <f t="shared" si="5"/>
        <v>visitudaipur</v>
      </c>
      <c r="Q98" s="3" t="str">
        <f t="shared" si="6"/>
        <v>Visitudaipur</v>
      </c>
      <c r="R98" s="3">
        <f t="shared" si="7"/>
        <v>4565</v>
      </c>
    </row>
    <row r="99">
      <c r="A99" s="7" t="s">
        <v>78</v>
      </c>
      <c r="B99" s="8" t="s">
        <v>20</v>
      </c>
      <c r="C99" s="8">
        <v>42500.0</v>
      </c>
      <c r="E99" s="3" t="str">
        <f>IFERROR(__xludf.DUMMYFUNCTION("SPLIT(A99,""|"")")," CHQ/Offline &amp;/20221230/Visitjodhpur/4566 ")</f>
        <v> CHQ/Offline &amp;/20221230/Visitjodhpur/4566 </v>
      </c>
      <c r="F99" s="3" t="str">
        <f>IFERROR(__xludf.DUMMYFUNCTION("SPLIT(E99,""/"")")," CHQ")</f>
        <v> CHQ</v>
      </c>
      <c r="G99" s="3" t="str">
        <f>IFERROR(__xludf.DUMMYFUNCTION("""COMPUTED_VALUE"""),"Offline &amp;")</f>
        <v>Offline &amp;</v>
      </c>
      <c r="H99" s="3">
        <f>IFERROR(__xludf.DUMMYFUNCTION("""COMPUTED_VALUE"""),2.022123E7)</f>
        <v>20221230</v>
      </c>
      <c r="I99" s="3" t="str">
        <f>IFERROR(__xludf.DUMMYFUNCTION("""COMPUTED_VALUE"""),"Visitjodhpur")</f>
        <v>Visitjodhpur</v>
      </c>
      <c r="J99" s="3">
        <f>IFERROR(__xludf.DUMMYFUNCTION("""COMPUTED_VALUE"""),4566.0)</f>
        <v>4566</v>
      </c>
      <c r="K99" s="3" t="str">
        <f t="shared" ref="K99:L99" si="103">TRIM(F99)</f>
        <v>CHQ</v>
      </c>
      <c r="L99" s="3" t="str">
        <f t="shared" si="103"/>
        <v>Offline &amp;</v>
      </c>
      <c r="M99" s="3" t="str">
        <f t="shared" si="3"/>
        <v>Offline &amp;</v>
      </c>
      <c r="N99" s="3" t="str">
        <f>IFERROR(__xludf.DUMMYFUNCTION("SPLIT(M99,""&amp;"")"),"Offline ")</f>
        <v>Offline </v>
      </c>
      <c r="O99" s="3" t="str">
        <f t="shared" si="4"/>
        <v>Offline</v>
      </c>
      <c r="P99" s="3" t="str">
        <f t="shared" si="5"/>
        <v>Visitjodhpur</v>
      </c>
      <c r="Q99" s="3" t="str">
        <f t="shared" si="6"/>
        <v>Visitjodhpur</v>
      </c>
      <c r="R99" s="3">
        <f t="shared" si="7"/>
        <v>4566</v>
      </c>
    </row>
    <row r="100">
      <c r="A100" s="7" t="s">
        <v>109</v>
      </c>
      <c r="B100" s="8" t="s">
        <v>6</v>
      </c>
      <c r="C100" s="8">
        <v>85600.0</v>
      </c>
      <c r="E100" s="3" t="str">
        <f>IFERROR(__xludf.DUMMYFUNCTION("SPLIT(A100,""|"")")," VfS/twitter/20221007/visitJaisalmer/3455 ")</f>
        <v> VfS/twitter/20221007/visitJaisalmer/3455 </v>
      </c>
      <c r="F100" s="3" t="str">
        <f>IFERROR(__xludf.DUMMYFUNCTION("SPLIT(E100,""/"")")," VfS")</f>
        <v> VfS</v>
      </c>
      <c r="G100" s="3" t="str">
        <f>IFERROR(__xludf.DUMMYFUNCTION("""COMPUTED_VALUE"""),"twitter")</f>
        <v>twitter</v>
      </c>
      <c r="H100" s="3">
        <f>IFERROR(__xludf.DUMMYFUNCTION("""COMPUTED_VALUE"""),2.0221007E7)</f>
        <v>20221007</v>
      </c>
      <c r="I100" s="3" t="str">
        <f>IFERROR(__xludf.DUMMYFUNCTION("""COMPUTED_VALUE"""),"visitJaisalmer")</f>
        <v>visitJaisalmer</v>
      </c>
      <c r="J100" s="3">
        <f>IFERROR(__xludf.DUMMYFUNCTION("""COMPUTED_VALUE"""),3455.0)</f>
        <v>3455</v>
      </c>
      <c r="K100" s="3" t="str">
        <f t="shared" ref="K100:L100" si="104">TRIM(F100)</f>
        <v>VfS</v>
      </c>
      <c r="L100" s="3" t="str">
        <f t="shared" si="104"/>
        <v>twitter</v>
      </c>
      <c r="M100" s="3" t="str">
        <f t="shared" si="3"/>
        <v>Twitter</v>
      </c>
      <c r="N100" s="3" t="str">
        <f>IFERROR(__xludf.DUMMYFUNCTION("SPLIT(M100,""&amp;"")"),"Twitter")</f>
        <v>Twitter</v>
      </c>
      <c r="O100" s="3" t="str">
        <f t="shared" si="4"/>
        <v>Twitter</v>
      </c>
      <c r="P100" s="3" t="str">
        <f t="shared" si="5"/>
        <v>visitJaisalmer</v>
      </c>
      <c r="Q100" s="3" t="str">
        <f t="shared" si="6"/>
        <v>Visitjaisalmer</v>
      </c>
      <c r="R100" s="3">
        <f t="shared" si="7"/>
        <v>3455</v>
      </c>
    </row>
    <row r="101">
      <c r="A101" s="7" t="s">
        <v>110</v>
      </c>
      <c r="B101" s="8" t="s">
        <v>20</v>
      </c>
      <c r="C101" s="8">
        <v>34200.0</v>
      </c>
      <c r="E101" s="3" t="str">
        <f>IFERROR(__xludf.DUMMYFUNCTION("SPLIT(A101,""|"")")," VIN/TwiTter/20221210/visitbikaner/5666 ")</f>
        <v> VIN/TwiTter/20221210/visitbikaner/5666 </v>
      </c>
      <c r="F101" s="3" t="str">
        <f>IFERROR(__xludf.DUMMYFUNCTION("SPLIT(E101,""/"")")," VIN")</f>
        <v> VIN</v>
      </c>
      <c r="G101" s="3" t="str">
        <f>IFERROR(__xludf.DUMMYFUNCTION("""COMPUTED_VALUE"""),"TwiTter")</f>
        <v>TwiTter</v>
      </c>
      <c r="H101" s="3">
        <f>IFERROR(__xludf.DUMMYFUNCTION("""COMPUTED_VALUE"""),2.022121E7)</f>
        <v>20221210</v>
      </c>
      <c r="I101" s="3" t="str">
        <f>IFERROR(__xludf.DUMMYFUNCTION("""COMPUTED_VALUE"""),"visitbikaner")</f>
        <v>visitbikaner</v>
      </c>
      <c r="J101" s="3">
        <f>IFERROR(__xludf.DUMMYFUNCTION("""COMPUTED_VALUE"""),5666.0)</f>
        <v>5666</v>
      </c>
      <c r="K101" s="3" t="str">
        <f t="shared" ref="K101:L101" si="105">TRIM(F101)</f>
        <v>VIN</v>
      </c>
      <c r="L101" s="3" t="str">
        <f t="shared" si="105"/>
        <v>TwiTter</v>
      </c>
      <c r="M101" s="3" t="str">
        <f t="shared" si="3"/>
        <v>Twitter</v>
      </c>
      <c r="N101" s="3" t="str">
        <f>IFERROR(__xludf.DUMMYFUNCTION("SPLIT(M101,""&amp;"")"),"Twitter")</f>
        <v>Twitter</v>
      </c>
      <c r="O101" s="3" t="str">
        <f t="shared" si="4"/>
        <v>Twitter</v>
      </c>
      <c r="P101" s="3" t="str">
        <f t="shared" si="5"/>
        <v>visitbikaner</v>
      </c>
      <c r="Q101" s="3" t="str">
        <f t="shared" si="6"/>
        <v>Visitbikaner</v>
      </c>
      <c r="R101" s="3">
        <f t="shared" si="7"/>
        <v>5666</v>
      </c>
    </row>
    <row r="102">
      <c r="A102" s="7" t="s">
        <v>81</v>
      </c>
      <c r="B102" s="8" t="s">
        <v>6</v>
      </c>
      <c r="C102" s="8">
        <v>42500.0</v>
      </c>
      <c r="E102" s="3" t="str">
        <f>IFERROR(__xludf.DUMMYFUNCTION("SPLIT(A102,""|"")")," NEFT/Facebook/20221015/Visitjaipur/5676 ")</f>
        <v> NEFT/Facebook/20221015/Visitjaipur/5676 </v>
      </c>
      <c r="F102" s="3" t="str">
        <f>IFERROR(__xludf.DUMMYFUNCTION("SPLIT(E102,""/"")")," NEFT")</f>
        <v> NEFT</v>
      </c>
      <c r="G102" s="3" t="str">
        <f>IFERROR(__xludf.DUMMYFUNCTION("""COMPUTED_VALUE"""),"Facebook")</f>
        <v>Facebook</v>
      </c>
      <c r="H102" s="3">
        <f>IFERROR(__xludf.DUMMYFUNCTION("""COMPUTED_VALUE"""),2.0221015E7)</f>
        <v>20221015</v>
      </c>
      <c r="I102" s="3" t="str">
        <f>IFERROR(__xludf.DUMMYFUNCTION("""COMPUTED_VALUE"""),"Visitjaipur")</f>
        <v>Visitjaipur</v>
      </c>
      <c r="J102" s="3">
        <f>IFERROR(__xludf.DUMMYFUNCTION("""COMPUTED_VALUE"""),5676.0)</f>
        <v>5676</v>
      </c>
      <c r="K102" s="3" t="str">
        <f t="shared" ref="K102:L102" si="106">TRIM(F102)</f>
        <v>NEFT</v>
      </c>
      <c r="L102" s="3" t="str">
        <f t="shared" si="106"/>
        <v>Facebook</v>
      </c>
      <c r="M102" s="3" t="str">
        <f t="shared" si="3"/>
        <v>Facebook</v>
      </c>
      <c r="N102" s="3" t="str">
        <f>IFERROR(__xludf.DUMMYFUNCTION("SPLIT(M102,""&amp;"")"),"Facebook")</f>
        <v>Facebook</v>
      </c>
      <c r="O102" s="3" t="str">
        <f t="shared" si="4"/>
        <v>Facebook</v>
      </c>
      <c r="P102" s="3" t="str">
        <f t="shared" si="5"/>
        <v>Visitjaipur</v>
      </c>
      <c r="Q102" s="3" t="str">
        <f t="shared" si="6"/>
        <v>Visitjaipur</v>
      </c>
      <c r="R102" s="3">
        <f t="shared" si="7"/>
        <v>5676</v>
      </c>
    </row>
    <row r="103">
      <c r="A103" s="7" t="s">
        <v>111</v>
      </c>
      <c r="B103" s="8" t="s">
        <v>6</v>
      </c>
      <c r="C103" s="8">
        <v>41100.0</v>
      </c>
      <c r="E103" s="3" t="str">
        <f>IFERROR(__xludf.DUMMYFUNCTION("SPLIT(A103,""|"")")," CHQ/YouTube &amp;/20221019/Visitrajasthan/4564 ")</f>
        <v> CHQ/YouTube &amp;/20221019/Visitrajasthan/4564 </v>
      </c>
      <c r="F103" s="3" t="str">
        <f>IFERROR(__xludf.DUMMYFUNCTION("SPLIT(E103,""/"")")," CHQ")</f>
        <v> CHQ</v>
      </c>
      <c r="G103" s="3" t="str">
        <f>IFERROR(__xludf.DUMMYFUNCTION("""COMPUTED_VALUE"""),"YouTube &amp;")</f>
        <v>YouTube &amp;</v>
      </c>
      <c r="H103" s="3">
        <f>IFERROR(__xludf.DUMMYFUNCTION("""COMPUTED_VALUE"""),2.0221019E7)</f>
        <v>20221019</v>
      </c>
      <c r="I103" s="3" t="str">
        <f>IFERROR(__xludf.DUMMYFUNCTION("""COMPUTED_VALUE"""),"Visitrajasthan")</f>
        <v>Visitrajasthan</v>
      </c>
      <c r="J103" s="3">
        <f>IFERROR(__xludf.DUMMYFUNCTION("""COMPUTED_VALUE"""),4564.0)</f>
        <v>4564</v>
      </c>
      <c r="K103" s="3" t="str">
        <f t="shared" ref="K103:L103" si="107">TRIM(F103)</f>
        <v>CHQ</v>
      </c>
      <c r="L103" s="3" t="str">
        <f t="shared" si="107"/>
        <v>YouTube &amp;</v>
      </c>
      <c r="M103" s="3" t="str">
        <f t="shared" si="3"/>
        <v>Youtube &amp;</v>
      </c>
      <c r="N103" s="3" t="str">
        <f>IFERROR(__xludf.DUMMYFUNCTION("SPLIT(M103,""&amp;"")"),"Youtube ")</f>
        <v>Youtube </v>
      </c>
      <c r="O103" s="3" t="str">
        <f t="shared" si="4"/>
        <v>Youtube</v>
      </c>
      <c r="P103" s="3" t="str">
        <f t="shared" si="5"/>
        <v>Visitrajasthan</v>
      </c>
      <c r="Q103" s="3" t="str">
        <f t="shared" si="6"/>
        <v>Visitrajasthan</v>
      </c>
      <c r="R103" s="3">
        <f t="shared" si="7"/>
        <v>4564</v>
      </c>
    </row>
    <row r="104">
      <c r="A104" s="7" t="s">
        <v>83</v>
      </c>
      <c r="B104" s="8" t="s">
        <v>19</v>
      </c>
      <c r="C104" s="8">
        <v>10600.0</v>
      </c>
      <c r="E104" s="3" t="str">
        <f>IFERROR(__xludf.DUMMYFUNCTION("SPLIT(A104,""|"")")," VfS/Instagram/20221101/visitudaipur/4565 ")</f>
        <v> VfS/Instagram/20221101/visitudaipur/4565 </v>
      </c>
      <c r="F104" s="3" t="str">
        <f>IFERROR(__xludf.DUMMYFUNCTION("SPLIT(E104,""/"")")," VfS")</f>
        <v> VfS</v>
      </c>
      <c r="G104" s="3" t="str">
        <f>IFERROR(__xludf.DUMMYFUNCTION("""COMPUTED_VALUE"""),"Instagram")</f>
        <v>Instagram</v>
      </c>
      <c r="H104" s="3">
        <f>IFERROR(__xludf.DUMMYFUNCTION("""COMPUTED_VALUE"""),2.0221101E7)</f>
        <v>20221101</v>
      </c>
      <c r="I104" s="3" t="str">
        <f>IFERROR(__xludf.DUMMYFUNCTION("""COMPUTED_VALUE"""),"visitudaipur")</f>
        <v>visitudaipur</v>
      </c>
      <c r="J104" s="3">
        <f>IFERROR(__xludf.DUMMYFUNCTION("""COMPUTED_VALUE"""),4565.0)</f>
        <v>4565</v>
      </c>
      <c r="K104" s="3" t="str">
        <f t="shared" ref="K104:L104" si="108">TRIM(F104)</f>
        <v>VfS</v>
      </c>
      <c r="L104" s="3" t="str">
        <f t="shared" si="108"/>
        <v>Instagram</v>
      </c>
      <c r="M104" s="3" t="str">
        <f t="shared" si="3"/>
        <v>Instagram</v>
      </c>
      <c r="N104" s="3" t="str">
        <f>IFERROR(__xludf.DUMMYFUNCTION("SPLIT(M104,""&amp;"")"),"Instagram")</f>
        <v>Instagram</v>
      </c>
      <c r="O104" s="3" t="str">
        <f t="shared" si="4"/>
        <v>Instagram</v>
      </c>
      <c r="P104" s="3" t="str">
        <f t="shared" si="5"/>
        <v>visitudaipur</v>
      </c>
      <c r="Q104" s="3" t="str">
        <f t="shared" si="6"/>
        <v>Visitudaipur</v>
      </c>
      <c r="R104" s="3">
        <f t="shared" si="7"/>
        <v>4565</v>
      </c>
    </row>
    <row r="105">
      <c r="A105" s="7" t="s">
        <v>84</v>
      </c>
      <c r="B105" s="8" t="s">
        <v>6</v>
      </c>
      <c r="C105" s="8">
        <v>56900.0</v>
      </c>
      <c r="E105" s="3" t="str">
        <f>IFERROR(__xludf.DUMMYFUNCTION("SPLIT(A105,""|"")")," VIN/OfflINe &amp;/20221026/Visitjodhpur/4566 ")</f>
        <v> VIN/OfflINe &amp;/20221026/Visitjodhpur/4566 </v>
      </c>
      <c r="F105" s="3" t="str">
        <f>IFERROR(__xludf.DUMMYFUNCTION("SPLIT(E105,""/"")")," VIN")</f>
        <v> VIN</v>
      </c>
      <c r="G105" s="3" t="str">
        <f>IFERROR(__xludf.DUMMYFUNCTION("""COMPUTED_VALUE"""),"OfflINe &amp;")</f>
        <v>OfflINe &amp;</v>
      </c>
      <c r="H105" s="3">
        <f>IFERROR(__xludf.DUMMYFUNCTION("""COMPUTED_VALUE"""),2.0221026E7)</f>
        <v>20221026</v>
      </c>
      <c r="I105" s="3" t="str">
        <f>IFERROR(__xludf.DUMMYFUNCTION("""COMPUTED_VALUE"""),"Visitjodhpur")</f>
        <v>Visitjodhpur</v>
      </c>
      <c r="J105" s="3">
        <f>IFERROR(__xludf.DUMMYFUNCTION("""COMPUTED_VALUE"""),4566.0)</f>
        <v>4566</v>
      </c>
      <c r="K105" s="3" t="str">
        <f t="shared" ref="K105:L105" si="109">TRIM(F105)</f>
        <v>VIN</v>
      </c>
      <c r="L105" s="3" t="str">
        <f t="shared" si="109"/>
        <v>OfflINe &amp;</v>
      </c>
      <c r="M105" s="3" t="str">
        <f t="shared" si="3"/>
        <v>Offline &amp;</v>
      </c>
      <c r="N105" s="3" t="str">
        <f>IFERROR(__xludf.DUMMYFUNCTION("SPLIT(M105,""&amp;"")"),"Offline ")</f>
        <v>Offline </v>
      </c>
      <c r="O105" s="3" t="str">
        <f t="shared" si="4"/>
        <v>Offline</v>
      </c>
      <c r="P105" s="3" t="str">
        <f t="shared" si="5"/>
        <v>Visitjodhpur</v>
      </c>
      <c r="Q105" s="3" t="str">
        <f t="shared" si="6"/>
        <v>Visitjodhpur</v>
      </c>
      <c r="R105" s="3">
        <f t="shared" si="7"/>
        <v>4566</v>
      </c>
    </row>
    <row r="106">
      <c r="A106" s="7" t="s">
        <v>112</v>
      </c>
      <c r="B106" s="8" t="s">
        <v>6</v>
      </c>
      <c r="C106" s="8">
        <v>72800.0</v>
      </c>
      <c r="E106" s="3" t="str">
        <f>IFERROR(__xludf.DUMMYFUNCTION("SPLIT(A106,""|"")")," CHQ/Facebook/20221002/Visitjaipur/5676 ")</f>
        <v> CHQ/Facebook/20221002/Visitjaipur/5676 </v>
      </c>
      <c r="F106" s="3" t="str">
        <f>IFERROR(__xludf.DUMMYFUNCTION("SPLIT(E106,""/"")")," CHQ")</f>
        <v> CHQ</v>
      </c>
      <c r="G106" s="3" t="str">
        <f>IFERROR(__xludf.DUMMYFUNCTION("""COMPUTED_VALUE"""),"Facebook")</f>
        <v>Facebook</v>
      </c>
      <c r="H106" s="3">
        <f>IFERROR(__xludf.DUMMYFUNCTION("""COMPUTED_VALUE"""),2.0221002E7)</f>
        <v>20221002</v>
      </c>
      <c r="I106" s="3" t="str">
        <f>IFERROR(__xludf.DUMMYFUNCTION("""COMPUTED_VALUE"""),"Visitjaipur")</f>
        <v>Visitjaipur</v>
      </c>
      <c r="J106" s="3">
        <f>IFERROR(__xludf.DUMMYFUNCTION("""COMPUTED_VALUE"""),5676.0)</f>
        <v>5676</v>
      </c>
      <c r="K106" s="3" t="str">
        <f t="shared" ref="K106:L106" si="110">TRIM(F106)</f>
        <v>CHQ</v>
      </c>
      <c r="L106" s="3" t="str">
        <f t="shared" si="110"/>
        <v>Facebook</v>
      </c>
      <c r="M106" s="3" t="str">
        <f t="shared" si="3"/>
        <v>Facebook</v>
      </c>
      <c r="N106" s="3" t="str">
        <f>IFERROR(__xludf.DUMMYFUNCTION("SPLIT(M106,""&amp;"")"),"Facebook")</f>
        <v>Facebook</v>
      </c>
      <c r="O106" s="3" t="str">
        <f t="shared" si="4"/>
        <v>Facebook</v>
      </c>
      <c r="P106" s="3" t="str">
        <f t="shared" si="5"/>
        <v>Visitjaipur</v>
      </c>
      <c r="Q106" s="3" t="str">
        <f t="shared" si="6"/>
        <v>Visitjaipur</v>
      </c>
      <c r="R106" s="3">
        <f t="shared" si="7"/>
        <v>5676</v>
      </c>
    </row>
    <row r="107">
      <c r="A107" s="7" t="s">
        <v>113</v>
      </c>
      <c r="B107" s="8" t="s">
        <v>6</v>
      </c>
      <c r="C107" s="8">
        <v>88100.0</v>
      </c>
      <c r="E107" s="3" t="str">
        <f>IFERROR(__xludf.DUMMYFUNCTION("SPLIT(A107,""|"")")," VfS/YouTube/20221017/Visitrajasthan/4564 ")</f>
        <v> VfS/YouTube/20221017/Visitrajasthan/4564 </v>
      </c>
      <c r="F107" s="3" t="str">
        <f>IFERROR(__xludf.DUMMYFUNCTION("SPLIT(E107,""/"")")," VfS")</f>
        <v> VfS</v>
      </c>
      <c r="G107" s="3" t="str">
        <f>IFERROR(__xludf.DUMMYFUNCTION("""COMPUTED_VALUE"""),"YouTube")</f>
        <v>YouTube</v>
      </c>
      <c r="H107" s="3">
        <f>IFERROR(__xludf.DUMMYFUNCTION("""COMPUTED_VALUE"""),2.0221017E7)</f>
        <v>20221017</v>
      </c>
      <c r="I107" s="3" t="str">
        <f>IFERROR(__xludf.DUMMYFUNCTION("""COMPUTED_VALUE"""),"Visitrajasthan")</f>
        <v>Visitrajasthan</v>
      </c>
      <c r="J107" s="3">
        <f>IFERROR(__xludf.DUMMYFUNCTION("""COMPUTED_VALUE"""),4564.0)</f>
        <v>4564</v>
      </c>
      <c r="K107" s="3" t="str">
        <f t="shared" ref="K107:L107" si="111">TRIM(F107)</f>
        <v>VfS</v>
      </c>
      <c r="L107" s="3" t="str">
        <f t="shared" si="111"/>
        <v>YouTube</v>
      </c>
      <c r="M107" s="3" t="str">
        <f t="shared" si="3"/>
        <v>Youtube</v>
      </c>
      <c r="N107" s="3" t="str">
        <f>IFERROR(__xludf.DUMMYFUNCTION("SPLIT(M107,""&amp;"")"),"Youtube")</f>
        <v>Youtube</v>
      </c>
      <c r="O107" s="3" t="str">
        <f t="shared" si="4"/>
        <v>Youtube</v>
      </c>
      <c r="P107" s="3" t="str">
        <f t="shared" si="5"/>
        <v>Visitrajasthan</v>
      </c>
      <c r="Q107" s="3" t="str">
        <f t="shared" si="6"/>
        <v>Visitrajasthan</v>
      </c>
      <c r="R107" s="3">
        <f t="shared" si="7"/>
        <v>4564</v>
      </c>
    </row>
    <row r="108">
      <c r="A108" s="7" t="s">
        <v>114</v>
      </c>
      <c r="B108" s="8" t="s">
        <v>20</v>
      </c>
      <c r="C108" s="8">
        <v>64700.0</v>
      </c>
      <c r="E108" s="3" t="str">
        <f>IFERROR(__xludf.DUMMYFUNCTION("SPLIT(A108,""|"")")," NEFT/Instagram/20221205/visitudaipur/4565 ")</f>
        <v> NEFT/Instagram/20221205/visitudaipur/4565 </v>
      </c>
      <c r="F108" s="3" t="str">
        <f>IFERROR(__xludf.DUMMYFUNCTION("SPLIT(E108,""/"")")," NEFT")</f>
        <v> NEFT</v>
      </c>
      <c r="G108" s="3" t="str">
        <f>IFERROR(__xludf.DUMMYFUNCTION("""COMPUTED_VALUE"""),"Instagram")</f>
        <v>Instagram</v>
      </c>
      <c r="H108" s="3">
        <f>IFERROR(__xludf.DUMMYFUNCTION("""COMPUTED_VALUE"""),2.0221205E7)</f>
        <v>20221205</v>
      </c>
      <c r="I108" s="3" t="str">
        <f>IFERROR(__xludf.DUMMYFUNCTION("""COMPUTED_VALUE"""),"visitudaipur")</f>
        <v>visitudaipur</v>
      </c>
      <c r="J108" s="3">
        <f>IFERROR(__xludf.DUMMYFUNCTION("""COMPUTED_VALUE"""),4565.0)</f>
        <v>4565</v>
      </c>
      <c r="K108" s="3" t="str">
        <f t="shared" ref="K108:L108" si="112">TRIM(F108)</f>
        <v>NEFT</v>
      </c>
      <c r="L108" s="3" t="str">
        <f t="shared" si="112"/>
        <v>Instagram</v>
      </c>
      <c r="M108" s="3" t="str">
        <f t="shared" si="3"/>
        <v>Instagram</v>
      </c>
      <c r="N108" s="3" t="str">
        <f>IFERROR(__xludf.DUMMYFUNCTION("SPLIT(M108,""&amp;"")"),"Instagram")</f>
        <v>Instagram</v>
      </c>
      <c r="O108" s="3" t="str">
        <f t="shared" si="4"/>
        <v>Instagram</v>
      </c>
      <c r="P108" s="3" t="str">
        <f t="shared" si="5"/>
        <v>visitudaipur</v>
      </c>
      <c r="Q108" s="3" t="str">
        <f t="shared" si="6"/>
        <v>Visitudaipur</v>
      </c>
      <c r="R108" s="3">
        <f t="shared" si="7"/>
        <v>4565</v>
      </c>
    </row>
    <row r="109">
      <c r="A109" s="7" t="s">
        <v>115</v>
      </c>
      <c r="B109" s="8" t="s">
        <v>20</v>
      </c>
      <c r="C109" s="8">
        <v>17200.0</v>
      </c>
      <c r="E109" s="3" t="str">
        <f>IFERROR(__xludf.DUMMYFUNCTION("SPLIT(A109,""|"")")," CHQ/Offline &amp;/20221208/Visitjodhpur/4566 ")</f>
        <v> CHQ/Offline &amp;/20221208/Visitjodhpur/4566 </v>
      </c>
      <c r="F109" s="3" t="str">
        <f>IFERROR(__xludf.DUMMYFUNCTION("SPLIT(E109,""/"")")," CHQ")</f>
        <v> CHQ</v>
      </c>
      <c r="G109" s="3" t="str">
        <f>IFERROR(__xludf.DUMMYFUNCTION("""COMPUTED_VALUE"""),"Offline &amp;")</f>
        <v>Offline &amp;</v>
      </c>
      <c r="H109" s="3">
        <f>IFERROR(__xludf.DUMMYFUNCTION("""COMPUTED_VALUE"""),2.0221208E7)</f>
        <v>20221208</v>
      </c>
      <c r="I109" s="3" t="str">
        <f>IFERROR(__xludf.DUMMYFUNCTION("""COMPUTED_VALUE"""),"Visitjodhpur")</f>
        <v>Visitjodhpur</v>
      </c>
      <c r="J109" s="3">
        <f>IFERROR(__xludf.DUMMYFUNCTION("""COMPUTED_VALUE"""),4566.0)</f>
        <v>4566</v>
      </c>
      <c r="K109" s="3" t="str">
        <f t="shared" ref="K109:L109" si="113">TRIM(F109)</f>
        <v>CHQ</v>
      </c>
      <c r="L109" s="3" t="str">
        <f t="shared" si="113"/>
        <v>Offline &amp;</v>
      </c>
      <c r="M109" s="3" t="str">
        <f t="shared" si="3"/>
        <v>Offline &amp;</v>
      </c>
      <c r="N109" s="3" t="str">
        <f>IFERROR(__xludf.DUMMYFUNCTION("SPLIT(M109,""&amp;"")"),"Offline ")</f>
        <v>Offline </v>
      </c>
      <c r="O109" s="3" t="str">
        <f t="shared" si="4"/>
        <v>Offline</v>
      </c>
      <c r="P109" s="3" t="str">
        <f t="shared" si="5"/>
        <v>Visitjodhpur</v>
      </c>
      <c r="Q109" s="3" t="str">
        <f t="shared" si="6"/>
        <v>Visitjodhpur</v>
      </c>
      <c r="R109" s="3">
        <f t="shared" si="7"/>
        <v>4566</v>
      </c>
    </row>
    <row r="110">
      <c r="A110" s="7" t="s">
        <v>116</v>
      </c>
      <c r="B110" s="8" t="s">
        <v>6</v>
      </c>
      <c r="C110" s="8">
        <v>24800.0</v>
      </c>
      <c r="E110" s="3" t="str">
        <f>IFERROR(__xludf.DUMMYFUNCTION("SPLIT(A110,""|"")")," VfS/Instagram/20221011/visitJaisalmer/3455 ")</f>
        <v> VfS/Instagram/20221011/visitJaisalmer/3455 </v>
      </c>
      <c r="F110" s="3" t="str">
        <f>IFERROR(__xludf.DUMMYFUNCTION("SPLIT(E110,""/"")")," VfS")</f>
        <v> VfS</v>
      </c>
      <c r="G110" s="3" t="str">
        <f>IFERROR(__xludf.DUMMYFUNCTION("""COMPUTED_VALUE"""),"Instagram")</f>
        <v>Instagram</v>
      </c>
      <c r="H110" s="3">
        <f>IFERROR(__xludf.DUMMYFUNCTION("""COMPUTED_VALUE"""),2.0221011E7)</f>
        <v>20221011</v>
      </c>
      <c r="I110" s="3" t="str">
        <f>IFERROR(__xludf.DUMMYFUNCTION("""COMPUTED_VALUE"""),"visitJaisalmer")</f>
        <v>visitJaisalmer</v>
      </c>
      <c r="J110" s="3">
        <f>IFERROR(__xludf.DUMMYFUNCTION("""COMPUTED_VALUE"""),3455.0)</f>
        <v>3455</v>
      </c>
      <c r="K110" s="3" t="str">
        <f t="shared" ref="K110:L110" si="114">TRIM(F110)</f>
        <v>VfS</v>
      </c>
      <c r="L110" s="3" t="str">
        <f t="shared" si="114"/>
        <v>Instagram</v>
      </c>
      <c r="M110" s="3" t="str">
        <f t="shared" si="3"/>
        <v>Instagram</v>
      </c>
      <c r="N110" s="3" t="str">
        <f>IFERROR(__xludf.DUMMYFUNCTION("SPLIT(M110,""&amp;"")"),"Instagram")</f>
        <v>Instagram</v>
      </c>
      <c r="O110" s="3" t="str">
        <f t="shared" si="4"/>
        <v>Instagram</v>
      </c>
      <c r="P110" s="3" t="str">
        <f t="shared" si="5"/>
        <v>visitJaisalmer</v>
      </c>
      <c r="Q110" s="3" t="str">
        <f t="shared" si="6"/>
        <v>Visitjaisalmer</v>
      </c>
      <c r="R110" s="3">
        <f t="shared" si="7"/>
        <v>3455</v>
      </c>
    </row>
    <row r="111">
      <c r="A111" s="7" t="s">
        <v>117</v>
      </c>
      <c r="B111" s="8" t="s">
        <v>19</v>
      </c>
      <c r="C111" s="8">
        <v>48600.0</v>
      </c>
      <c r="E111" s="3" t="str">
        <f>IFERROR(__xludf.DUMMYFUNCTION("SPLIT(A111,""|"")")," VIN/TwiTter/20221114/visitbikaner/5666 ")</f>
        <v> VIN/TwiTter/20221114/visitbikaner/5666 </v>
      </c>
      <c r="F111" s="3" t="str">
        <f>IFERROR(__xludf.DUMMYFUNCTION("SPLIT(E111,""/"")")," VIN")</f>
        <v> VIN</v>
      </c>
      <c r="G111" s="3" t="str">
        <f>IFERROR(__xludf.DUMMYFUNCTION("""COMPUTED_VALUE"""),"TwiTter")</f>
        <v>TwiTter</v>
      </c>
      <c r="H111" s="3">
        <f>IFERROR(__xludf.DUMMYFUNCTION("""COMPUTED_VALUE"""),2.0221114E7)</f>
        <v>20221114</v>
      </c>
      <c r="I111" s="3" t="str">
        <f>IFERROR(__xludf.DUMMYFUNCTION("""COMPUTED_VALUE"""),"visitbikaner")</f>
        <v>visitbikaner</v>
      </c>
      <c r="J111" s="3">
        <f>IFERROR(__xludf.DUMMYFUNCTION("""COMPUTED_VALUE"""),5666.0)</f>
        <v>5666</v>
      </c>
      <c r="K111" s="3" t="str">
        <f t="shared" ref="K111:L111" si="115">TRIM(F111)</f>
        <v>VIN</v>
      </c>
      <c r="L111" s="3" t="str">
        <f t="shared" si="115"/>
        <v>TwiTter</v>
      </c>
      <c r="M111" s="3" t="str">
        <f t="shared" si="3"/>
        <v>Twitter</v>
      </c>
      <c r="N111" s="3" t="str">
        <f>IFERROR(__xludf.DUMMYFUNCTION("SPLIT(M111,""&amp;"")"),"Twitter")</f>
        <v>Twitter</v>
      </c>
      <c r="O111" s="3" t="str">
        <f t="shared" si="4"/>
        <v>Twitter</v>
      </c>
      <c r="P111" s="3" t="str">
        <f t="shared" si="5"/>
        <v>visitbikaner</v>
      </c>
      <c r="Q111" s="3" t="str">
        <f t="shared" si="6"/>
        <v>Visitbikaner</v>
      </c>
      <c r="R111" s="3">
        <f t="shared" si="7"/>
        <v>5666</v>
      </c>
    </row>
    <row r="112">
      <c r="A112" s="7" t="s">
        <v>118</v>
      </c>
      <c r="B112" s="8" t="s">
        <v>19</v>
      </c>
      <c r="C112" s="8">
        <v>16100.0</v>
      </c>
      <c r="E112" s="3" t="str">
        <f>IFERROR(__xludf.DUMMYFUNCTION("SPLIT(A112,""|"")")," NEFT/Facebook/20221117/Visitjaipur/5676 ")</f>
        <v> NEFT/Facebook/20221117/Visitjaipur/5676 </v>
      </c>
      <c r="F112" s="3" t="str">
        <f>IFERROR(__xludf.DUMMYFUNCTION("SPLIT(E112,""/"")")," NEFT")</f>
        <v> NEFT</v>
      </c>
      <c r="G112" s="3" t="str">
        <f>IFERROR(__xludf.DUMMYFUNCTION("""COMPUTED_VALUE"""),"Facebook")</f>
        <v>Facebook</v>
      </c>
      <c r="H112" s="3">
        <f>IFERROR(__xludf.DUMMYFUNCTION("""COMPUTED_VALUE"""),2.0221117E7)</f>
        <v>20221117</v>
      </c>
      <c r="I112" s="3" t="str">
        <f>IFERROR(__xludf.DUMMYFUNCTION("""COMPUTED_VALUE"""),"Visitjaipur")</f>
        <v>Visitjaipur</v>
      </c>
      <c r="J112" s="3">
        <f>IFERROR(__xludf.DUMMYFUNCTION("""COMPUTED_VALUE"""),5676.0)</f>
        <v>5676</v>
      </c>
      <c r="K112" s="3" t="str">
        <f t="shared" ref="K112:L112" si="116">TRIM(F112)</f>
        <v>NEFT</v>
      </c>
      <c r="L112" s="3" t="str">
        <f t="shared" si="116"/>
        <v>Facebook</v>
      </c>
      <c r="M112" s="3" t="str">
        <f t="shared" si="3"/>
        <v>Facebook</v>
      </c>
      <c r="N112" s="3" t="str">
        <f>IFERROR(__xludf.DUMMYFUNCTION("SPLIT(M112,""&amp;"")"),"Facebook")</f>
        <v>Facebook</v>
      </c>
      <c r="O112" s="3" t="str">
        <f t="shared" si="4"/>
        <v>Facebook</v>
      </c>
      <c r="P112" s="3" t="str">
        <f t="shared" si="5"/>
        <v>Visitjaipur</v>
      </c>
      <c r="Q112" s="3" t="str">
        <f t="shared" si="6"/>
        <v>Visitjaipur</v>
      </c>
      <c r="R112" s="3">
        <f t="shared" si="7"/>
        <v>5676</v>
      </c>
    </row>
    <row r="113">
      <c r="A113" s="7" t="s">
        <v>119</v>
      </c>
      <c r="B113" s="8" t="s">
        <v>19</v>
      </c>
      <c r="C113" s="8">
        <v>33600.0</v>
      </c>
      <c r="E113" s="3" t="str">
        <f>IFERROR(__xludf.DUMMYFUNCTION("SPLIT(A113,""|"")")," CHQ/YouTube &amp;/20221120/Visitrajasthan/4564 ")</f>
        <v> CHQ/YouTube &amp;/20221120/Visitrajasthan/4564 </v>
      </c>
      <c r="F113" s="3" t="str">
        <f>IFERROR(__xludf.DUMMYFUNCTION("SPLIT(E113,""/"")")," CHQ")</f>
        <v> CHQ</v>
      </c>
      <c r="G113" s="3" t="str">
        <f>IFERROR(__xludf.DUMMYFUNCTION("""COMPUTED_VALUE"""),"YouTube &amp;")</f>
        <v>YouTube &amp;</v>
      </c>
      <c r="H113" s="3">
        <f>IFERROR(__xludf.DUMMYFUNCTION("""COMPUTED_VALUE"""),2.022112E7)</f>
        <v>20221120</v>
      </c>
      <c r="I113" s="3" t="str">
        <f>IFERROR(__xludf.DUMMYFUNCTION("""COMPUTED_VALUE"""),"Visitrajasthan")</f>
        <v>Visitrajasthan</v>
      </c>
      <c r="J113" s="3">
        <f>IFERROR(__xludf.DUMMYFUNCTION("""COMPUTED_VALUE"""),4564.0)</f>
        <v>4564</v>
      </c>
      <c r="K113" s="3" t="str">
        <f t="shared" ref="K113:L113" si="117">TRIM(F113)</f>
        <v>CHQ</v>
      </c>
      <c r="L113" s="3" t="str">
        <f t="shared" si="117"/>
        <v>YouTube &amp;</v>
      </c>
      <c r="M113" s="3" t="str">
        <f t="shared" si="3"/>
        <v>Youtube &amp;</v>
      </c>
      <c r="N113" s="3" t="str">
        <f>IFERROR(__xludf.DUMMYFUNCTION("SPLIT(M113,""&amp;"")"),"Youtube ")</f>
        <v>Youtube </v>
      </c>
      <c r="O113" s="3" t="str">
        <f t="shared" si="4"/>
        <v>Youtube</v>
      </c>
      <c r="P113" s="3" t="str">
        <f t="shared" si="5"/>
        <v>Visitrajasthan</v>
      </c>
      <c r="Q113" s="3" t="str">
        <f t="shared" si="6"/>
        <v>Visitrajasthan</v>
      </c>
      <c r="R113" s="3">
        <f t="shared" si="7"/>
        <v>4564</v>
      </c>
    </row>
    <row r="114">
      <c r="A114" s="7" t="s">
        <v>106</v>
      </c>
      <c r="B114" s="8" t="s">
        <v>19</v>
      </c>
      <c r="C114" s="8">
        <v>89600.0</v>
      </c>
      <c r="E114" s="3" t="str">
        <f>IFERROR(__xludf.DUMMYFUNCTION("SPLIT(A114,""|"")")," VfS/Instagram/20221123/visitudaipur/4565 ")</f>
        <v> VfS/Instagram/20221123/visitudaipur/4565 </v>
      </c>
      <c r="F114" s="3" t="str">
        <f>IFERROR(__xludf.DUMMYFUNCTION("SPLIT(E114,""/"")")," VfS")</f>
        <v> VfS</v>
      </c>
      <c r="G114" s="3" t="str">
        <f>IFERROR(__xludf.DUMMYFUNCTION("""COMPUTED_VALUE"""),"Instagram")</f>
        <v>Instagram</v>
      </c>
      <c r="H114" s="3">
        <f>IFERROR(__xludf.DUMMYFUNCTION("""COMPUTED_VALUE"""),2.0221123E7)</f>
        <v>20221123</v>
      </c>
      <c r="I114" s="3" t="str">
        <f>IFERROR(__xludf.DUMMYFUNCTION("""COMPUTED_VALUE"""),"visitudaipur")</f>
        <v>visitudaipur</v>
      </c>
      <c r="J114" s="3">
        <f>IFERROR(__xludf.DUMMYFUNCTION("""COMPUTED_VALUE"""),4565.0)</f>
        <v>4565</v>
      </c>
      <c r="K114" s="3" t="str">
        <f t="shared" ref="K114:L114" si="118">TRIM(F114)</f>
        <v>VfS</v>
      </c>
      <c r="L114" s="3" t="str">
        <f t="shared" si="118"/>
        <v>Instagram</v>
      </c>
      <c r="M114" s="3" t="str">
        <f t="shared" si="3"/>
        <v>Instagram</v>
      </c>
      <c r="N114" s="3" t="str">
        <f>IFERROR(__xludf.DUMMYFUNCTION("SPLIT(M114,""&amp;"")"),"Instagram")</f>
        <v>Instagram</v>
      </c>
      <c r="O114" s="3" t="str">
        <f t="shared" si="4"/>
        <v>Instagram</v>
      </c>
      <c r="P114" s="3" t="str">
        <f t="shared" si="5"/>
        <v>visitudaipur</v>
      </c>
      <c r="Q114" s="3" t="str">
        <f t="shared" si="6"/>
        <v>Visitudaipur</v>
      </c>
      <c r="R114" s="3">
        <f t="shared" si="7"/>
        <v>4565</v>
      </c>
    </row>
    <row r="115">
      <c r="A115" s="7" t="s">
        <v>120</v>
      </c>
      <c r="B115" s="8" t="s">
        <v>19</v>
      </c>
      <c r="C115" s="8">
        <v>17100.0</v>
      </c>
      <c r="E115" s="3" t="str">
        <f>IFERROR(__xludf.DUMMYFUNCTION("SPLIT(A115,""|"")")," VIN/OfflINe &amp;/20221126/Visitjodhpur/4566 ")</f>
        <v> VIN/OfflINe &amp;/20221126/Visitjodhpur/4566 </v>
      </c>
      <c r="F115" s="3" t="str">
        <f>IFERROR(__xludf.DUMMYFUNCTION("SPLIT(E115,""/"")")," VIN")</f>
        <v> VIN</v>
      </c>
      <c r="G115" s="3" t="str">
        <f>IFERROR(__xludf.DUMMYFUNCTION("""COMPUTED_VALUE"""),"OfflINe &amp;")</f>
        <v>OfflINe &amp;</v>
      </c>
      <c r="H115" s="3">
        <f>IFERROR(__xludf.DUMMYFUNCTION("""COMPUTED_VALUE"""),2.0221126E7)</f>
        <v>20221126</v>
      </c>
      <c r="I115" s="3" t="str">
        <f>IFERROR(__xludf.DUMMYFUNCTION("""COMPUTED_VALUE"""),"Visitjodhpur")</f>
        <v>Visitjodhpur</v>
      </c>
      <c r="J115" s="3">
        <f>IFERROR(__xludf.DUMMYFUNCTION("""COMPUTED_VALUE"""),4566.0)</f>
        <v>4566</v>
      </c>
      <c r="K115" s="3" t="str">
        <f t="shared" ref="K115:L115" si="119">TRIM(F115)</f>
        <v>VIN</v>
      </c>
      <c r="L115" s="3" t="str">
        <f t="shared" si="119"/>
        <v>OfflINe &amp;</v>
      </c>
      <c r="M115" s="3" t="str">
        <f t="shared" si="3"/>
        <v>Offline &amp;</v>
      </c>
      <c r="N115" s="3" t="str">
        <f>IFERROR(__xludf.DUMMYFUNCTION("SPLIT(M115,""&amp;"")"),"Offline ")</f>
        <v>Offline </v>
      </c>
      <c r="O115" s="3" t="str">
        <f t="shared" si="4"/>
        <v>Offline</v>
      </c>
      <c r="P115" s="3" t="str">
        <f t="shared" si="5"/>
        <v>Visitjodhpur</v>
      </c>
      <c r="Q115" s="3" t="str">
        <f t="shared" si="6"/>
        <v>Visitjodhpur</v>
      </c>
      <c r="R115" s="3">
        <f t="shared" si="7"/>
        <v>4566</v>
      </c>
    </row>
    <row r="116">
      <c r="A116" s="7" t="s">
        <v>121</v>
      </c>
      <c r="B116" s="8" t="s">
        <v>20</v>
      </c>
      <c r="C116" s="8">
        <v>43100.0</v>
      </c>
      <c r="E116" s="3" t="str">
        <f>IFERROR(__xludf.DUMMYFUNCTION("SPLIT(A116,""|"")")," CHQ/Facebook/20221201/Visitjaipur/5676 ")</f>
        <v> CHQ/Facebook/20221201/Visitjaipur/5676 </v>
      </c>
      <c r="F116" s="3" t="str">
        <f>IFERROR(__xludf.DUMMYFUNCTION("SPLIT(E116,""/"")")," CHQ")</f>
        <v> CHQ</v>
      </c>
      <c r="G116" s="3" t="str">
        <f>IFERROR(__xludf.DUMMYFUNCTION("""COMPUTED_VALUE"""),"Facebook")</f>
        <v>Facebook</v>
      </c>
      <c r="H116" s="3">
        <f>IFERROR(__xludf.DUMMYFUNCTION("""COMPUTED_VALUE"""),2.0221201E7)</f>
        <v>20221201</v>
      </c>
      <c r="I116" s="3" t="str">
        <f>IFERROR(__xludf.DUMMYFUNCTION("""COMPUTED_VALUE"""),"Visitjaipur")</f>
        <v>Visitjaipur</v>
      </c>
      <c r="J116" s="3">
        <f>IFERROR(__xludf.DUMMYFUNCTION("""COMPUTED_VALUE"""),5676.0)</f>
        <v>5676</v>
      </c>
      <c r="K116" s="3" t="str">
        <f t="shared" ref="K116:L116" si="120">TRIM(F116)</f>
        <v>CHQ</v>
      </c>
      <c r="L116" s="3" t="str">
        <f t="shared" si="120"/>
        <v>Facebook</v>
      </c>
      <c r="M116" s="3" t="str">
        <f t="shared" si="3"/>
        <v>Facebook</v>
      </c>
      <c r="N116" s="3" t="str">
        <f>IFERROR(__xludf.DUMMYFUNCTION("SPLIT(M116,""&amp;"")"),"Facebook")</f>
        <v>Facebook</v>
      </c>
      <c r="O116" s="3" t="str">
        <f t="shared" si="4"/>
        <v>Facebook</v>
      </c>
      <c r="P116" s="3" t="str">
        <f t="shared" si="5"/>
        <v>Visitjaipur</v>
      </c>
      <c r="Q116" s="3" t="str">
        <f t="shared" si="6"/>
        <v>Visitjaipur</v>
      </c>
      <c r="R116" s="3">
        <f t="shared" si="7"/>
        <v>5676</v>
      </c>
    </row>
    <row r="117">
      <c r="A117" s="7" t="s">
        <v>122</v>
      </c>
      <c r="B117" s="8" t="s">
        <v>20</v>
      </c>
      <c r="C117" s="8">
        <v>45000.0</v>
      </c>
      <c r="E117" s="3" t="str">
        <f>IFERROR(__xludf.DUMMYFUNCTION("SPLIT(A117,""|"")")," VfS/YouTube/20221204/Visitrajasthan/4564 ")</f>
        <v> VfS/YouTube/20221204/Visitrajasthan/4564 </v>
      </c>
      <c r="F117" s="3" t="str">
        <f>IFERROR(__xludf.DUMMYFUNCTION("SPLIT(E117,""/"")")," VfS")</f>
        <v> VfS</v>
      </c>
      <c r="G117" s="3" t="str">
        <f>IFERROR(__xludf.DUMMYFUNCTION("""COMPUTED_VALUE"""),"YouTube")</f>
        <v>YouTube</v>
      </c>
      <c r="H117" s="3">
        <f>IFERROR(__xludf.DUMMYFUNCTION("""COMPUTED_VALUE"""),2.0221204E7)</f>
        <v>20221204</v>
      </c>
      <c r="I117" s="3" t="str">
        <f>IFERROR(__xludf.DUMMYFUNCTION("""COMPUTED_VALUE"""),"Visitrajasthan")</f>
        <v>Visitrajasthan</v>
      </c>
      <c r="J117" s="3">
        <f>IFERROR(__xludf.DUMMYFUNCTION("""COMPUTED_VALUE"""),4564.0)</f>
        <v>4564</v>
      </c>
      <c r="K117" s="3" t="str">
        <f t="shared" ref="K117:L117" si="121">TRIM(F117)</f>
        <v>VfS</v>
      </c>
      <c r="L117" s="3" t="str">
        <f t="shared" si="121"/>
        <v>YouTube</v>
      </c>
      <c r="M117" s="3" t="str">
        <f t="shared" si="3"/>
        <v>Youtube</v>
      </c>
      <c r="N117" s="3" t="str">
        <f>IFERROR(__xludf.DUMMYFUNCTION("SPLIT(M117,""&amp;"")"),"Youtube")</f>
        <v>Youtube</v>
      </c>
      <c r="O117" s="3" t="str">
        <f t="shared" si="4"/>
        <v>Youtube</v>
      </c>
      <c r="P117" s="3" t="str">
        <f t="shared" si="5"/>
        <v>Visitrajasthan</v>
      </c>
      <c r="Q117" s="3" t="str">
        <f t="shared" si="6"/>
        <v>Visitrajasthan</v>
      </c>
      <c r="R117" s="3">
        <f t="shared" si="7"/>
        <v>4564</v>
      </c>
    </row>
    <row r="118">
      <c r="A118" s="7" t="s">
        <v>123</v>
      </c>
      <c r="B118" s="8" t="s">
        <v>20</v>
      </c>
      <c r="C118" s="8">
        <v>55000.0</v>
      </c>
      <c r="E118" s="3" t="str">
        <f>IFERROR(__xludf.DUMMYFUNCTION("SPLIT(A118,""|"")")," NEFT/Instagram/20221207/visitudaipur/4565 ")</f>
        <v> NEFT/Instagram/20221207/visitudaipur/4565 </v>
      </c>
      <c r="F118" s="3" t="str">
        <f>IFERROR(__xludf.DUMMYFUNCTION("SPLIT(E118,""/"")")," NEFT")</f>
        <v> NEFT</v>
      </c>
      <c r="G118" s="3" t="str">
        <f>IFERROR(__xludf.DUMMYFUNCTION("""COMPUTED_VALUE"""),"Instagram")</f>
        <v>Instagram</v>
      </c>
      <c r="H118" s="3">
        <f>IFERROR(__xludf.DUMMYFUNCTION("""COMPUTED_VALUE"""),2.0221207E7)</f>
        <v>20221207</v>
      </c>
      <c r="I118" s="3" t="str">
        <f>IFERROR(__xludf.DUMMYFUNCTION("""COMPUTED_VALUE"""),"visitudaipur")</f>
        <v>visitudaipur</v>
      </c>
      <c r="J118" s="3">
        <f>IFERROR(__xludf.DUMMYFUNCTION("""COMPUTED_VALUE"""),4565.0)</f>
        <v>4565</v>
      </c>
      <c r="K118" s="3" t="str">
        <f t="shared" ref="K118:L118" si="122">TRIM(F118)</f>
        <v>NEFT</v>
      </c>
      <c r="L118" s="3" t="str">
        <f t="shared" si="122"/>
        <v>Instagram</v>
      </c>
      <c r="M118" s="3" t="str">
        <f t="shared" si="3"/>
        <v>Instagram</v>
      </c>
      <c r="N118" s="3" t="str">
        <f>IFERROR(__xludf.DUMMYFUNCTION("SPLIT(M118,""&amp;"")"),"Instagram")</f>
        <v>Instagram</v>
      </c>
      <c r="O118" s="3" t="str">
        <f t="shared" si="4"/>
        <v>Instagram</v>
      </c>
      <c r="P118" s="3" t="str">
        <f t="shared" si="5"/>
        <v>visitudaipur</v>
      </c>
      <c r="Q118" s="3" t="str">
        <f t="shared" si="6"/>
        <v>Visitudaipur</v>
      </c>
      <c r="R118" s="3">
        <f t="shared" si="7"/>
        <v>4565</v>
      </c>
    </row>
    <row r="119">
      <c r="A119" s="7" t="s">
        <v>124</v>
      </c>
      <c r="B119" s="8" t="s">
        <v>20</v>
      </c>
      <c r="C119" s="8">
        <v>52000.0</v>
      </c>
      <c r="E119" s="3" t="str">
        <f>IFERROR(__xludf.DUMMYFUNCTION("SPLIT(A119,""|"")")," CHQ/Offline &amp;/20221210/Visitjodhpur/4566 ")</f>
        <v> CHQ/Offline &amp;/20221210/Visitjodhpur/4566 </v>
      </c>
      <c r="F119" s="3" t="str">
        <f>IFERROR(__xludf.DUMMYFUNCTION("SPLIT(E119,""/"")")," CHQ")</f>
        <v> CHQ</v>
      </c>
      <c r="G119" s="3" t="str">
        <f>IFERROR(__xludf.DUMMYFUNCTION("""COMPUTED_VALUE"""),"Offline &amp;")</f>
        <v>Offline &amp;</v>
      </c>
      <c r="H119" s="3">
        <f>IFERROR(__xludf.DUMMYFUNCTION("""COMPUTED_VALUE"""),2.022121E7)</f>
        <v>20221210</v>
      </c>
      <c r="I119" s="3" t="str">
        <f>IFERROR(__xludf.DUMMYFUNCTION("""COMPUTED_VALUE"""),"Visitjodhpur")</f>
        <v>Visitjodhpur</v>
      </c>
      <c r="J119" s="3">
        <f>IFERROR(__xludf.DUMMYFUNCTION("""COMPUTED_VALUE"""),4566.0)</f>
        <v>4566</v>
      </c>
      <c r="K119" s="3" t="str">
        <f t="shared" ref="K119:L119" si="123">TRIM(F119)</f>
        <v>CHQ</v>
      </c>
      <c r="L119" s="3" t="str">
        <f t="shared" si="123"/>
        <v>Offline &amp;</v>
      </c>
      <c r="M119" s="3" t="str">
        <f t="shared" si="3"/>
        <v>Offline &amp;</v>
      </c>
      <c r="N119" s="3" t="str">
        <f>IFERROR(__xludf.DUMMYFUNCTION("SPLIT(M119,""&amp;"")"),"Offline ")</f>
        <v>Offline </v>
      </c>
      <c r="O119" s="3" t="str">
        <f t="shared" si="4"/>
        <v>Offline</v>
      </c>
      <c r="P119" s="3" t="str">
        <f t="shared" si="5"/>
        <v>Visitjodhpur</v>
      </c>
      <c r="Q119" s="3" t="str">
        <f t="shared" si="6"/>
        <v>Visitjodhpur</v>
      </c>
      <c r="R119" s="3">
        <f t="shared" si="7"/>
        <v>4566</v>
      </c>
    </row>
    <row r="120">
      <c r="A120" s="7" t="s">
        <v>125</v>
      </c>
      <c r="B120" s="8" t="s">
        <v>20</v>
      </c>
      <c r="C120" s="8">
        <v>31700.0</v>
      </c>
      <c r="E120" s="3" t="str">
        <f>IFERROR(__xludf.DUMMYFUNCTION("SPLIT(A120,""|"")")," VfS/Google Ads/20221213/visitJaisalmer/3455 ")</f>
        <v> VfS/Google Ads/20221213/visitJaisalmer/3455 </v>
      </c>
      <c r="F120" s="3" t="str">
        <f>IFERROR(__xludf.DUMMYFUNCTION("SPLIT(E120,""/"")")," VfS")</f>
        <v> VfS</v>
      </c>
      <c r="G120" s="3" t="str">
        <f>IFERROR(__xludf.DUMMYFUNCTION("""COMPUTED_VALUE"""),"Google Ads")</f>
        <v>Google Ads</v>
      </c>
      <c r="H120" s="3">
        <f>IFERROR(__xludf.DUMMYFUNCTION("""COMPUTED_VALUE"""),2.0221213E7)</f>
        <v>20221213</v>
      </c>
      <c r="I120" s="3" t="str">
        <f>IFERROR(__xludf.DUMMYFUNCTION("""COMPUTED_VALUE"""),"visitJaisalmer")</f>
        <v>visitJaisalmer</v>
      </c>
      <c r="J120" s="3">
        <f>IFERROR(__xludf.DUMMYFUNCTION("""COMPUTED_VALUE"""),3455.0)</f>
        <v>3455</v>
      </c>
      <c r="K120" s="3" t="str">
        <f t="shared" ref="K120:L120" si="124">TRIM(F120)</f>
        <v>VfS</v>
      </c>
      <c r="L120" s="3" t="str">
        <f t="shared" si="124"/>
        <v>Google Ads</v>
      </c>
      <c r="M120" s="3" t="str">
        <f t="shared" si="3"/>
        <v>Google Ads</v>
      </c>
      <c r="N120" s="3" t="str">
        <f>IFERROR(__xludf.DUMMYFUNCTION("SPLIT(M120,""&amp;"")"),"Google Ads")</f>
        <v>Google Ads</v>
      </c>
      <c r="O120" s="3" t="str">
        <f t="shared" si="4"/>
        <v>Google Ads</v>
      </c>
      <c r="P120" s="3" t="str">
        <f t="shared" si="5"/>
        <v>visitJaisalmer</v>
      </c>
      <c r="Q120" s="3" t="str">
        <f t="shared" si="6"/>
        <v>Visitjaisalmer</v>
      </c>
      <c r="R120" s="3">
        <f t="shared" si="7"/>
        <v>3455</v>
      </c>
    </row>
    <row r="121">
      <c r="A121" s="7" t="s">
        <v>126</v>
      </c>
      <c r="B121" s="8" t="s">
        <v>20</v>
      </c>
      <c r="C121" s="8">
        <v>36300.0</v>
      </c>
      <c r="E121" s="3" t="str">
        <f>IFERROR(__xludf.DUMMYFUNCTION("SPLIT(A121,""|"")")," VIN/TwiTter/20221216/visitbikaner/5666 ")</f>
        <v> VIN/TwiTter/20221216/visitbikaner/5666 </v>
      </c>
      <c r="F121" s="3" t="str">
        <f>IFERROR(__xludf.DUMMYFUNCTION("SPLIT(E121,""/"")")," VIN")</f>
        <v> VIN</v>
      </c>
      <c r="G121" s="3" t="str">
        <f>IFERROR(__xludf.DUMMYFUNCTION("""COMPUTED_VALUE"""),"TwiTter")</f>
        <v>TwiTter</v>
      </c>
      <c r="H121" s="3">
        <f>IFERROR(__xludf.DUMMYFUNCTION("""COMPUTED_VALUE"""),2.0221216E7)</f>
        <v>20221216</v>
      </c>
      <c r="I121" s="3" t="str">
        <f>IFERROR(__xludf.DUMMYFUNCTION("""COMPUTED_VALUE"""),"visitbikaner")</f>
        <v>visitbikaner</v>
      </c>
      <c r="J121" s="3">
        <f>IFERROR(__xludf.DUMMYFUNCTION("""COMPUTED_VALUE"""),5666.0)</f>
        <v>5666</v>
      </c>
      <c r="K121" s="3" t="str">
        <f t="shared" ref="K121:L121" si="125">TRIM(F121)</f>
        <v>VIN</v>
      </c>
      <c r="L121" s="3" t="str">
        <f t="shared" si="125"/>
        <v>TwiTter</v>
      </c>
      <c r="M121" s="3" t="str">
        <f t="shared" si="3"/>
        <v>Twitter</v>
      </c>
      <c r="N121" s="3" t="str">
        <f>IFERROR(__xludf.DUMMYFUNCTION("SPLIT(M121,""&amp;"")"),"Twitter")</f>
        <v>Twitter</v>
      </c>
      <c r="O121" s="3" t="str">
        <f t="shared" si="4"/>
        <v>Twitter</v>
      </c>
      <c r="P121" s="3" t="str">
        <f t="shared" si="5"/>
        <v>visitbikaner</v>
      </c>
      <c r="Q121" s="3" t="str">
        <f t="shared" si="6"/>
        <v>Visitbikaner</v>
      </c>
      <c r="R121" s="3">
        <f t="shared" si="7"/>
        <v>5666</v>
      </c>
    </row>
    <row r="122">
      <c r="A122" s="7" t="s">
        <v>127</v>
      </c>
      <c r="B122" s="8" t="s">
        <v>20</v>
      </c>
      <c r="C122" s="8">
        <v>28000.0</v>
      </c>
      <c r="E122" s="3" t="str">
        <f>IFERROR(__xludf.DUMMYFUNCTION("SPLIT(A122,""|"")")," NEFT/Facebook/20221219/Visitjaipur/5676 ")</f>
        <v> NEFT/Facebook/20221219/Visitjaipur/5676 </v>
      </c>
      <c r="F122" s="3" t="str">
        <f>IFERROR(__xludf.DUMMYFUNCTION("SPLIT(E122,""/"")")," NEFT")</f>
        <v> NEFT</v>
      </c>
      <c r="G122" s="3" t="str">
        <f>IFERROR(__xludf.DUMMYFUNCTION("""COMPUTED_VALUE"""),"Facebook")</f>
        <v>Facebook</v>
      </c>
      <c r="H122" s="3">
        <f>IFERROR(__xludf.DUMMYFUNCTION("""COMPUTED_VALUE"""),2.0221219E7)</f>
        <v>20221219</v>
      </c>
      <c r="I122" s="3" t="str">
        <f>IFERROR(__xludf.DUMMYFUNCTION("""COMPUTED_VALUE"""),"Visitjaipur")</f>
        <v>Visitjaipur</v>
      </c>
      <c r="J122" s="3">
        <f>IFERROR(__xludf.DUMMYFUNCTION("""COMPUTED_VALUE"""),5676.0)</f>
        <v>5676</v>
      </c>
      <c r="K122" s="3" t="str">
        <f t="shared" ref="K122:L122" si="126">TRIM(F122)</f>
        <v>NEFT</v>
      </c>
      <c r="L122" s="3" t="str">
        <f t="shared" si="126"/>
        <v>Facebook</v>
      </c>
      <c r="M122" s="3" t="str">
        <f t="shared" si="3"/>
        <v>Facebook</v>
      </c>
      <c r="N122" s="3" t="str">
        <f>IFERROR(__xludf.DUMMYFUNCTION("SPLIT(M122,""&amp;"")"),"Facebook")</f>
        <v>Facebook</v>
      </c>
      <c r="O122" s="3" t="str">
        <f t="shared" si="4"/>
        <v>Facebook</v>
      </c>
      <c r="P122" s="3" t="str">
        <f t="shared" si="5"/>
        <v>Visitjaipur</v>
      </c>
      <c r="Q122" s="3" t="str">
        <f t="shared" si="6"/>
        <v>Visitjaipur</v>
      </c>
      <c r="R122" s="3">
        <f t="shared" si="7"/>
        <v>5676</v>
      </c>
    </row>
    <row r="123">
      <c r="A123" s="7" t="s">
        <v>128</v>
      </c>
      <c r="B123" s="8" t="s">
        <v>20</v>
      </c>
      <c r="C123" s="8">
        <v>58200.0</v>
      </c>
      <c r="E123" s="3" t="str">
        <f>IFERROR(__xludf.DUMMYFUNCTION("SPLIT(A123,""|"")")," CHQ/YouTube &amp;/20221222/Visitrajasthan/4564 ")</f>
        <v> CHQ/YouTube &amp;/20221222/Visitrajasthan/4564 </v>
      </c>
      <c r="F123" s="3" t="str">
        <f>IFERROR(__xludf.DUMMYFUNCTION("SPLIT(E123,""/"")")," CHQ")</f>
        <v> CHQ</v>
      </c>
      <c r="G123" s="3" t="str">
        <f>IFERROR(__xludf.DUMMYFUNCTION("""COMPUTED_VALUE"""),"YouTube &amp;")</f>
        <v>YouTube &amp;</v>
      </c>
      <c r="H123" s="3">
        <f>IFERROR(__xludf.DUMMYFUNCTION("""COMPUTED_VALUE"""),2.0221222E7)</f>
        <v>20221222</v>
      </c>
      <c r="I123" s="3" t="str">
        <f>IFERROR(__xludf.DUMMYFUNCTION("""COMPUTED_VALUE"""),"Visitrajasthan")</f>
        <v>Visitrajasthan</v>
      </c>
      <c r="J123" s="3">
        <f>IFERROR(__xludf.DUMMYFUNCTION("""COMPUTED_VALUE"""),4564.0)</f>
        <v>4564</v>
      </c>
      <c r="K123" s="3" t="str">
        <f t="shared" ref="K123:L123" si="127">TRIM(F123)</f>
        <v>CHQ</v>
      </c>
      <c r="L123" s="3" t="str">
        <f t="shared" si="127"/>
        <v>YouTube &amp;</v>
      </c>
      <c r="M123" s="3" t="str">
        <f t="shared" si="3"/>
        <v>Youtube &amp;</v>
      </c>
      <c r="N123" s="3" t="str">
        <f>IFERROR(__xludf.DUMMYFUNCTION("SPLIT(M123,""&amp;"")"),"Youtube ")</f>
        <v>Youtube </v>
      </c>
      <c r="O123" s="3" t="str">
        <f t="shared" si="4"/>
        <v>Youtube</v>
      </c>
      <c r="P123" s="3" t="str">
        <f t="shared" si="5"/>
        <v>Visitrajasthan</v>
      </c>
      <c r="Q123" s="3" t="str">
        <f t="shared" si="6"/>
        <v>Visitrajasthan</v>
      </c>
      <c r="R123" s="3">
        <f t="shared" si="7"/>
        <v>4564</v>
      </c>
    </row>
    <row r="124">
      <c r="A124" s="7" t="s">
        <v>129</v>
      </c>
      <c r="B124" s="8" t="s">
        <v>20</v>
      </c>
      <c r="C124" s="8">
        <v>78700.0</v>
      </c>
      <c r="E124" s="3" t="str">
        <f>IFERROR(__xludf.DUMMYFUNCTION("SPLIT(A124,""|"")")," VfS/Instagram/20221225/visitudaipur/4565 ")</f>
        <v> VfS/Instagram/20221225/visitudaipur/4565 </v>
      </c>
      <c r="F124" s="3" t="str">
        <f>IFERROR(__xludf.DUMMYFUNCTION("SPLIT(E124,""/"")")," VfS")</f>
        <v> VfS</v>
      </c>
      <c r="G124" s="3" t="str">
        <f>IFERROR(__xludf.DUMMYFUNCTION("""COMPUTED_VALUE"""),"Instagram")</f>
        <v>Instagram</v>
      </c>
      <c r="H124" s="3">
        <f>IFERROR(__xludf.DUMMYFUNCTION("""COMPUTED_VALUE"""),2.0221225E7)</f>
        <v>20221225</v>
      </c>
      <c r="I124" s="3" t="str">
        <f>IFERROR(__xludf.DUMMYFUNCTION("""COMPUTED_VALUE"""),"visitudaipur")</f>
        <v>visitudaipur</v>
      </c>
      <c r="J124" s="3">
        <f>IFERROR(__xludf.DUMMYFUNCTION("""COMPUTED_VALUE"""),4565.0)</f>
        <v>4565</v>
      </c>
      <c r="K124" s="3" t="str">
        <f t="shared" ref="K124:L124" si="128">TRIM(F124)</f>
        <v>VfS</v>
      </c>
      <c r="L124" s="3" t="str">
        <f t="shared" si="128"/>
        <v>Instagram</v>
      </c>
      <c r="M124" s="3" t="str">
        <f t="shared" si="3"/>
        <v>Instagram</v>
      </c>
      <c r="N124" s="3" t="str">
        <f>IFERROR(__xludf.DUMMYFUNCTION("SPLIT(M124,""&amp;"")"),"Instagram")</f>
        <v>Instagram</v>
      </c>
      <c r="O124" s="3" t="str">
        <f t="shared" si="4"/>
        <v>Instagram</v>
      </c>
      <c r="P124" s="3" t="str">
        <f t="shared" si="5"/>
        <v>visitudaipur</v>
      </c>
      <c r="Q124" s="3" t="str">
        <f t="shared" si="6"/>
        <v>Visitudaipur</v>
      </c>
      <c r="R124" s="3">
        <f t="shared" si="7"/>
        <v>4565</v>
      </c>
    </row>
    <row r="125">
      <c r="A125" s="7" t="s">
        <v>130</v>
      </c>
      <c r="B125" s="8" t="s">
        <v>20</v>
      </c>
      <c r="C125" s="8">
        <v>19100.0</v>
      </c>
      <c r="E125" s="3" t="str">
        <f>IFERROR(__xludf.DUMMYFUNCTION("SPLIT(A125,""|"")")," VIN/OfflINe &amp;/20221228/Visitjodhpur/4566 ")</f>
        <v> VIN/OfflINe &amp;/20221228/Visitjodhpur/4566 </v>
      </c>
      <c r="F125" s="3" t="str">
        <f>IFERROR(__xludf.DUMMYFUNCTION("SPLIT(E125,""/"")")," VIN")</f>
        <v> VIN</v>
      </c>
      <c r="G125" s="3" t="str">
        <f>IFERROR(__xludf.DUMMYFUNCTION("""COMPUTED_VALUE"""),"OfflINe &amp;")</f>
        <v>OfflINe &amp;</v>
      </c>
      <c r="H125" s="3">
        <f>IFERROR(__xludf.DUMMYFUNCTION("""COMPUTED_VALUE"""),2.0221228E7)</f>
        <v>20221228</v>
      </c>
      <c r="I125" s="3" t="str">
        <f>IFERROR(__xludf.DUMMYFUNCTION("""COMPUTED_VALUE"""),"Visitjodhpur")</f>
        <v>Visitjodhpur</v>
      </c>
      <c r="J125" s="3">
        <f>IFERROR(__xludf.DUMMYFUNCTION("""COMPUTED_VALUE"""),4566.0)</f>
        <v>4566</v>
      </c>
      <c r="K125" s="3" t="str">
        <f t="shared" ref="K125:L125" si="129">TRIM(F125)</f>
        <v>VIN</v>
      </c>
      <c r="L125" s="3" t="str">
        <f t="shared" si="129"/>
        <v>OfflINe &amp;</v>
      </c>
      <c r="M125" s="3" t="str">
        <f t="shared" si="3"/>
        <v>Offline &amp;</v>
      </c>
      <c r="N125" s="3" t="str">
        <f>IFERROR(__xludf.DUMMYFUNCTION("SPLIT(M125,""&amp;"")"),"Offline ")</f>
        <v>Offline </v>
      </c>
      <c r="O125" s="3" t="str">
        <f t="shared" si="4"/>
        <v>Offline</v>
      </c>
      <c r="P125" s="3" t="str">
        <f t="shared" si="5"/>
        <v>Visitjodhpur</v>
      </c>
      <c r="Q125" s="3" t="str">
        <f t="shared" si="6"/>
        <v>Visitjodhpur</v>
      </c>
      <c r="R125" s="3">
        <f t="shared" si="7"/>
        <v>4566</v>
      </c>
    </row>
    <row r="126">
      <c r="A126" s="7" t="s">
        <v>131</v>
      </c>
      <c r="B126" s="8" t="s">
        <v>6</v>
      </c>
      <c r="C126" s="8">
        <v>19900.0</v>
      </c>
      <c r="E126" s="3" t="str">
        <f>IFERROR(__xludf.DUMMYFUNCTION("SPLIT(A126,""|"")")," CHQ/Facebook/20221001/Visitjaipur/5676 ")</f>
        <v> CHQ/Facebook/20221001/Visitjaipur/5676 </v>
      </c>
      <c r="F126" s="3" t="str">
        <f>IFERROR(__xludf.DUMMYFUNCTION("SPLIT(E126,""/"")")," CHQ")</f>
        <v> CHQ</v>
      </c>
      <c r="G126" s="3" t="str">
        <f>IFERROR(__xludf.DUMMYFUNCTION("""COMPUTED_VALUE"""),"Facebook")</f>
        <v>Facebook</v>
      </c>
      <c r="H126" s="3">
        <f>IFERROR(__xludf.DUMMYFUNCTION("""COMPUTED_VALUE"""),2.0221001E7)</f>
        <v>20221001</v>
      </c>
      <c r="I126" s="3" t="str">
        <f>IFERROR(__xludf.DUMMYFUNCTION("""COMPUTED_VALUE"""),"Visitjaipur")</f>
        <v>Visitjaipur</v>
      </c>
      <c r="J126" s="3">
        <f>IFERROR(__xludf.DUMMYFUNCTION("""COMPUTED_VALUE"""),5676.0)</f>
        <v>5676</v>
      </c>
      <c r="K126" s="3" t="str">
        <f t="shared" ref="K126:L126" si="130">TRIM(F126)</f>
        <v>CHQ</v>
      </c>
      <c r="L126" s="3" t="str">
        <f t="shared" si="130"/>
        <v>Facebook</v>
      </c>
      <c r="M126" s="3" t="str">
        <f t="shared" si="3"/>
        <v>Facebook</v>
      </c>
      <c r="N126" s="3" t="str">
        <f>IFERROR(__xludf.DUMMYFUNCTION("SPLIT(M126,""&amp;"")"),"Facebook")</f>
        <v>Facebook</v>
      </c>
      <c r="O126" s="3" t="str">
        <f t="shared" si="4"/>
        <v>Facebook</v>
      </c>
      <c r="P126" s="3" t="str">
        <f t="shared" si="5"/>
        <v>Visitjaipur</v>
      </c>
      <c r="Q126" s="3" t="str">
        <f t="shared" si="6"/>
        <v>Visitjaipur</v>
      </c>
      <c r="R126" s="3">
        <f t="shared" si="7"/>
        <v>5676</v>
      </c>
    </row>
    <row r="127">
      <c r="A127" s="7" t="s">
        <v>132</v>
      </c>
      <c r="B127" s="8" t="s">
        <v>6</v>
      </c>
      <c r="C127" s="8">
        <v>31600.0</v>
      </c>
      <c r="E127" s="3" t="str">
        <f>IFERROR(__xludf.DUMMYFUNCTION("SPLIT(A127,""|"")")," VfS/YouTube/20221004/Visitrajasthan/4564 ")</f>
        <v> VfS/YouTube/20221004/Visitrajasthan/4564 </v>
      </c>
      <c r="F127" s="3" t="str">
        <f>IFERROR(__xludf.DUMMYFUNCTION("SPLIT(E127,""/"")")," VfS")</f>
        <v> VfS</v>
      </c>
      <c r="G127" s="3" t="str">
        <f>IFERROR(__xludf.DUMMYFUNCTION("""COMPUTED_VALUE"""),"YouTube")</f>
        <v>YouTube</v>
      </c>
      <c r="H127" s="3">
        <f>IFERROR(__xludf.DUMMYFUNCTION("""COMPUTED_VALUE"""),2.0221004E7)</f>
        <v>20221004</v>
      </c>
      <c r="I127" s="3" t="str">
        <f>IFERROR(__xludf.DUMMYFUNCTION("""COMPUTED_VALUE"""),"Visitrajasthan")</f>
        <v>Visitrajasthan</v>
      </c>
      <c r="J127" s="3">
        <f>IFERROR(__xludf.DUMMYFUNCTION("""COMPUTED_VALUE"""),4564.0)</f>
        <v>4564</v>
      </c>
      <c r="K127" s="3" t="str">
        <f t="shared" ref="K127:L127" si="131">TRIM(F127)</f>
        <v>VfS</v>
      </c>
      <c r="L127" s="3" t="str">
        <f t="shared" si="131"/>
        <v>YouTube</v>
      </c>
      <c r="M127" s="3" t="str">
        <f t="shared" si="3"/>
        <v>Youtube</v>
      </c>
      <c r="N127" s="3" t="str">
        <f>IFERROR(__xludf.DUMMYFUNCTION("SPLIT(M127,""&amp;"")"),"Youtube")</f>
        <v>Youtube</v>
      </c>
      <c r="O127" s="3" t="str">
        <f t="shared" si="4"/>
        <v>Youtube</v>
      </c>
      <c r="P127" s="3" t="str">
        <f t="shared" si="5"/>
        <v>Visitrajasthan</v>
      </c>
      <c r="Q127" s="3" t="str">
        <f t="shared" si="6"/>
        <v>Visitrajasthan</v>
      </c>
      <c r="R127" s="3">
        <f t="shared" si="7"/>
        <v>4564</v>
      </c>
    </row>
    <row r="128">
      <c r="A128" s="7" t="s">
        <v>133</v>
      </c>
      <c r="B128" s="8" t="s">
        <v>6</v>
      </c>
      <c r="C128" s="8">
        <v>79500.0</v>
      </c>
      <c r="E128" s="3" t="str">
        <f>IFERROR(__xludf.DUMMYFUNCTION("SPLIT(A128,""|"")")," NEFT/Instagram/20221007/visitudaipur/4565 ")</f>
        <v> NEFT/Instagram/20221007/visitudaipur/4565 </v>
      </c>
      <c r="F128" s="3" t="str">
        <f>IFERROR(__xludf.DUMMYFUNCTION("SPLIT(E128,""/"")")," NEFT")</f>
        <v> NEFT</v>
      </c>
      <c r="G128" s="3" t="str">
        <f>IFERROR(__xludf.DUMMYFUNCTION("""COMPUTED_VALUE"""),"Instagram")</f>
        <v>Instagram</v>
      </c>
      <c r="H128" s="3">
        <f>IFERROR(__xludf.DUMMYFUNCTION("""COMPUTED_VALUE"""),2.0221007E7)</f>
        <v>20221007</v>
      </c>
      <c r="I128" s="3" t="str">
        <f>IFERROR(__xludf.DUMMYFUNCTION("""COMPUTED_VALUE"""),"visitudaipur")</f>
        <v>visitudaipur</v>
      </c>
      <c r="J128" s="3">
        <f>IFERROR(__xludf.DUMMYFUNCTION("""COMPUTED_VALUE"""),4565.0)</f>
        <v>4565</v>
      </c>
      <c r="K128" s="3" t="str">
        <f t="shared" ref="K128:L128" si="132">TRIM(F128)</f>
        <v>NEFT</v>
      </c>
      <c r="L128" s="3" t="str">
        <f t="shared" si="132"/>
        <v>Instagram</v>
      </c>
      <c r="M128" s="3" t="str">
        <f t="shared" si="3"/>
        <v>Instagram</v>
      </c>
      <c r="N128" s="3" t="str">
        <f>IFERROR(__xludf.DUMMYFUNCTION("SPLIT(M128,""&amp;"")"),"Instagram")</f>
        <v>Instagram</v>
      </c>
      <c r="O128" s="3" t="str">
        <f t="shared" si="4"/>
        <v>Instagram</v>
      </c>
      <c r="P128" s="3" t="str">
        <f t="shared" si="5"/>
        <v>visitudaipur</v>
      </c>
      <c r="Q128" s="3" t="str">
        <f t="shared" si="6"/>
        <v>Visitudaipur</v>
      </c>
      <c r="R128" s="3">
        <f t="shared" si="7"/>
        <v>4565</v>
      </c>
    </row>
    <row r="129">
      <c r="A129" s="7" t="s">
        <v>134</v>
      </c>
      <c r="B129" s="8" t="s">
        <v>6</v>
      </c>
      <c r="C129" s="8">
        <v>57200.0</v>
      </c>
      <c r="E129" s="3" t="str">
        <f>IFERROR(__xludf.DUMMYFUNCTION("SPLIT(A129,""|"")")," CHQ/Offline &amp;/20221010/Visitjodhpur/4566 ")</f>
        <v> CHQ/Offline &amp;/20221010/Visitjodhpur/4566 </v>
      </c>
      <c r="F129" s="3" t="str">
        <f>IFERROR(__xludf.DUMMYFUNCTION("SPLIT(E129,""/"")")," CHQ")</f>
        <v> CHQ</v>
      </c>
      <c r="G129" s="3" t="str">
        <f>IFERROR(__xludf.DUMMYFUNCTION("""COMPUTED_VALUE"""),"Offline &amp;")</f>
        <v>Offline &amp;</v>
      </c>
      <c r="H129" s="3">
        <f>IFERROR(__xludf.DUMMYFUNCTION("""COMPUTED_VALUE"""),2.022101E7)</f>
        <v>20221010</v>
      </c>
      <c r="I129" s="3" t="str">
        <f>IFERROR(__xludf.DUMMYFUNCTION("""COMPUTED_VALUE"""),"Visitjodhpur")</f>
        <v>Visitjodhpur</v>
      </c>
      <c r="J129" s="3">
        <f>IFERROR(__xludf.DUMMYFUNCTION("""COMPUTED_VALUE"""),4566.0)</f>
        <v>4566</v>
      </c>
      <c r="K129" s="3" t="str">
        <f t="shared" ref="K129:L129" si="133">TRIM(F129)</f>
        <v>CHQ</v>
      </c>
      <c r="L129" s="3" t="str">
        <f t="shared" si="133"/>
        <v>Offline &amp;</v>
      </c>
      <c r="M129" s="3" t="str">
        <f t="shared" si="3"/>
        <v>Offline &amp;</v>
      </c>
      <c r="N129" s="3" t="str">
        <f>IFERROR(__xludf.DUMMYFUNCTION("SPLIT(M129,""&amp;"")"),"Offline ")</f>
        <v>Offline </v>
      </c>
      <c r="O129" s="3" t="str">
        <f t="shared" si="4"/>
        <v>Offline</v>
      </c>
      <c r="P129" s="3" t="str">
        <f t="shared" si="5"/>
        <v>Visitjodhpur</v>
      </c>
      <c r="Q129" s="3" t="str">
        <f t="shared" si="6"/>
        <v>Visitjodhpur</v>
      </c>
      <c r="R129" s="3">
        <f t="shared" si="7"/>
        <v>4566</v>
      </c>
    </row>
    <row r="130">
      <c r="A130" s="7" t="s">
        <v>135</v>
      </c>
      <c r="B130" s="8" t="s">
        <v>6</v>
      </c>
      <c r="C130" s="8">
        <v>86800.0</v>
      </c>
      <c r="E130" s="3" t="str">
        <f>IFERROR(__xludf.DUMMYFUNCTION("SPLIT(A130,""|"")")," VfS/Offline/20221013/visitJaisalmer/3455 ")</f>
        <v> VfS/Offline/20221013/visitJaisalmer/3455 </v>
      </c>
      <c r="F130" s="3" t="str">
        <f>IFERROR(__xludf.DUMMYFUNCTION("SPLIT(E130,""/"")")," VfS")</f>
        <v> VfS</v>
      </c>
      <c r="G130" s="3" t="str">
        <f>IFERROR(__xludf.DUMMYFUNCTION("""COMPUTED_VALUE"""),"Offline")</f>
        <v>Offline</v>
      </c>
      <c r="H130" s="3">
        <f>IFERROR(__xludf.DUMMYFUNCTION("""COMPUTED_VALUE"""),2.0221013E7)</f>
        <v>20221013</v>
      </c>
      <c r="I130" s="3" t="str">
        <f>IFERROR(__xludf.DUMMYFUNCTION("""COMPUTED_VALUE"""),"visitJaisalmer")</f>
        <v>visitJaisalmer</v>
      </c>
      <c r="J130" s="3">
        <f>IFERROR(__xludf.DUMMYFUNCTION("""COMPUTED_VALUE"""),3455.0)</f>
        <v>3455</v>
      </c>
      <c r="K130" s="3" t="str">
        <f t="shared" ref="K130:L130" si="134">TRIM(F130)</f>
        <v>VfS</v>
      </c>
      <c r="L130" s="3" t="str">
        <f t="shared" si="134"/>
        <v>Offline</v>
      </c>
      <c r="M130" s="3" t="str">
        <f t="shared" si="3"/>
        <v>Offline</v>
      </c>
      <c r="N130" s="3" t="str">
        <f>IFERROR(__xludf.DUMMYFUNCTION("SPLIT(M130,""&amp;"")"),"Offline")</f>
        <v>Offline</v>
      </c>
      <c r="O130" s="3" t="str">
        <f t="shared" si="4"/>
        <v>Offline</v>
      </c>
      <c r="P130" s="3" t="str">
        <f t="shared" si="5"/>
        <v>visitJaisalmer</v>
      </c>
      <c r="Q130" s="3" t="str">
        <f t="shared" si="6"/>
        <v>Visitjaisalmer</v>
      </c>
      <c r="R130" s="3">
        <f t="shared" si="7"/>
        <v>3455</v>
      </c>
    </row>
    <row r="131">
      <c r="A131" s="7" t="s">
        <v>136</v>
      </c>
      <c r="B131" s="8" t="s">
        <v>6</v>
      </c>
      <c r="C131" s="8">
        <v>40100.0</v>
      </c>
      <c r="E131" s="3" t="str">
        <f>IFERROR(__xludf.DUMMYFUNCTION("SPLIT(A131,""|"")")," VIN/TwiTter/20221016/visitbikaner/5666 ")</f>
        <v> VIN/TwiTter/20221016/visitbikaner/5666 </v>
      </c>
      <c r="F131" s="3" t="str">
        <f>IFERROR(__xludf.DUMMYFUNCTION("SPLIT(E131,""/"")")," VIN")</f>
        <v> VIN</v>
      </c>
      <c r="G131" s="3" t="str">
        <f>IFERROR(__xludf.DUMMYFUNCTION("""COMPUTED_VALUE"""),"TwiTter")</f>
        <v>TwiTter</v>
      </c>
      <c r="H131" s="3">
        <f>IFERROR(__xludf.DUMMYFUNCTION("""COMPUTED_VALUE"""),2.0221016E7)</f>
        <v>20221016</v>
      </c>
      <c r="I131" s="3" t="str">
        <f>IFERROR(__xludf.DUMMYFUNCTION("""COMPUTED_VALUE"""),"visitbikaner")</f>
        <v>visitbikaner</v>
      </c>
      <c r="J131" s="3">
        <f>IFERROR(__xludf.DUMMYFUNCTION("""COMPUTED_VALUE"""),5666.0)</f>
        <v>5666</v>
      </c>
      <c r="K131" s="3" t="str">
        <f t="shared" ref="K131:L131" si="135">TRIM(F131)</f>
        <v>VIN</v>
      </c>
      <c r="L131" s="3" t="str">
        <f t="shared" si="135"/>
        <v>TwiTter</v>
      </c>
      <c r="M131" s="3" t="str">
        <f t="shared" si="3"/>
        <v>Twitter</v>
      </c>
      <c r="N131" s="3" t="str">
        <f>IFERROR(__xludf.DUMMYFUNCTION("SPLIT(M131,""&amp;"")"),"Twitter")</f>
        <v>Twitter</v>
      </c>
      <c r="O131" s="3" t="str">
        <f t="shared" si="4"/>
        <v>Twitter</v>
      </c>
      <c r="P131" s="3" t="str">
        <f t="shared" si="5"/>
        <v>visitbikaner</v>
      </c>
      <c r="Q131" s="3" t="str">
        <f t="shared" si="6"/>
        <v>Visitbikaner</v>
      </c>
      <c r="R131" s="3">
        <f t="shared" si="7"/>
        <v>5666</v>
      </c>
    </row>
    <row r="132">
      <c r="A132" s="7" t="s">
        <v>137</v>
      </c>
      <c r="B132" s="8" t="s">
        <v>6</v>
      </c>
      <c r="C132" s="8">
        <v>43200.0</v>
      </c>
      <c r="E132" s="3" t="str">
        <f>IFERROR(__xludf.DUMMYFUNCTION("SPLIT(A132,""|"")")," NEFT/Facebook/20221019/Visitjaipur/5676 ")</f>
        <v> NEFT/Facebook/20221019/Visitjaipur/5676 </v>
      </c>
      <c r="F132" s="3" t="str">
        <f>IFERROR(__xludf.DUMMYFUNCTION("SPLIT(E132,""/"")")," NEFT")</f>
        <v> NEFT</v>
      </c>
      <c r="G132" s="3" t="str">
        <f>IFERROR(__xludf.DUMMYFUNCTION("""COMPUTED_VALUE"""),"Facebook")</f>
        <v>Facebook</v>
      </c>
      <c r="H132" s="3">
        <f>IFERROR(__xludf.DUMMYFUNCTION("""COMPUTED_VALUE"""),2.0221019E7)</f>
        <v>20221019</v>
      </c>
      <c r="I132" s="3" t="str">
        <f>IFERROR(__xludf.DUMMYFUNCTION("""COMPUTED_VALUE"""),"Visitjaipur")</f>
        <v>Visitjaipur</v>
      </c>
      <c r="J132" s="3">
        <f>IFERROR(__xludf.DUMMYFUNCTION("""COMPUTED_VALUE"""),5676.0)</f>
        <v>5676</v>
      </c>
      <c r="K132" s="3" t="str">
        <f t="shared" ref="K132:L132" si="136">TRIM(F132)</f>
        <v>NEFT</v>
      </c>
      <c r="L132" s="3" t="str">
        <f t="shared" si="136"/>
        <v>Facebook</v>
      </c>
      <c r="M132" s="3" t="str">
        <f t="shared" si="3"/>
        <v>Facebook</v>
      </c>
      <c r="N132" s="3" t="str">
        <f>IFERROR(__xludf.DUMMYFUNCTION("SPLIT(M132,""&amp;"")"),"Facebook")</f>
        <v>Facebook</v>
      </c>
      <c r="O132" s="3" t="str">
        <f t="shared" si="4"/>
        <v>Facebook</v>
      </c>
      <c r="P132" s="3" t="str">
        <f t="shared" si="5"/>
        <v>Visitjaipur</v>
      </c>
      <c r="Q132" s="3" t="str">
        <f t="shared" si="6"/>
        <v>Visitjaipur</v>
      </c>
      <c r="R132" s="3">
        <f t="shared" si="7"/>
        <v>5676</v>
      </c>
    </row>
    <row r="133">
      <c r="A133" s="7" t="s">
        <v>138</v>
      </c>
      <c r="B133" s="8" t="s">
        <v>6</v>
      </c>
      <c r="C133" s="8">
        <v>20500.0</v>
      </c>
      <c r="E133" s="3" t="str">
        <f>IFERROR(__xludf.DUMMYFUNCTION("SPLIT(A133,""|"")")," CHQ/YouTube &amp;/20221022/Visitrajasthan/4564 ")</f>
        <v> CHQ/YouTube &amp;/20221022/Visitrajasthan/4564 </v>
      </c>
      <c r="F133" s="3" t="str">
        <f>IFERROR(__xludf.DUMMYFUNCTION("SPLIT(E133,""/"")")," CHQ")</f>
        <v> CHQ</v>
      </c>
      <c r="G133" s="3" t="str">
        <f>IFERROR(__xludf.DUMMYFUNCTION("""COMPUTED_VALUE"""),"YouTube &amp;")</f>
        <v>YouTube &amp;</v>
      </c>
      <c r="H133" s="3">
        <f>IFERROR(__xludf.DUMMYFUNCTION("""COMPUTED_VALUE"""),2.0221022E7)</f>
        <v>20221022</v>
      </c>
      <c r="I133" s="3" t="str">
        <f>IFERROR(__xludf.DUMMYFUNCTION("""COMPUTED_VALUE"""),"Visitrajasthan")</f>
        <v>Visitrajasthan</v>
      </c>
      <c r="J133" s="3">
        <f>IFERROR(__xludf.DUMMYFUNCTION("""COMPUTED_VALUE"""),4564.0)</f>
        <v>4564</v>
      </c>
      <c r="K133" s="3" t="str">
        <f t="shared" ref="K133:L133" si="137">TRIM(F133)</f>
        <v>CHQ</v>
      </c>
      <c r="L133" s="3" t="str">
        <f t="shared" si="137"/>
        <v>YouTube &amp;</v>
      </c>
      <c r="M133" s="3" t="str">
        <f t="shared" si="3"/>
        <v>Youtube &amp;</v>
      </c>
      <c r="N133" s="3" t="str">
        <f>IFERROR(__xludf.DUMMYFUNCTION("SPLIT(M133,""&amp;"")"),"Youtube ")</f>
        <v>Youtube </v>
      </c>
      <c r="O133" s="3" t="str">
        <f t="shared" si="4"/>
        <v>Youtube</v>
      </c>
      <c r="P133" s="3" t="str">
        <f t="shared" si="5"/>
        <v>Visitrajasthan</v>
      </c>
      <c r="Q133" s="3" t="str">
        <f t="shared" si="6"/>
        <v>Visitrajasthan</v>
      </c>
      <c r="R133" s="3">
        <f t="shared" si="7"/>
        <v>4564</v>
      </c>
    </row>
    <row r="134">
      <c r="A134" s="7" t="s">
        <v>139</v>
      </c>
      <c r="B134" s="8" t="s">
        <v>6</v>
      </c>
      <c r="C134" s="8">
        <v>73600.0</v>
      </c>
      <c r="E134" s="3" t="str">
        <f>IFERROR(__xludf.DUMMYFUNCTION("SPLIT(A134,""|"")")," VfS/Instagram/20221025/visitudaipur/4565 ")</f>
        <v> VfS/Instagram/20221025/visitudaipur/4565 </v>
      </c>
      <c r="F134" s="3" t="str">
        <f>IFERROR(__xludf.DUMMYFUNCTION("SPLIT(E134,""/"")")," VfS")</f>
        <v> VfS</v>
      </c>
      <c r="G134" s="3" t="str">
        <f>IFERROR(__xludf.DUMMYFUNCTION("""COMPUTED_VALUE"""),"Instagram")</f>
        <v>Instagram</v>
      </c>
      <c r="H134" s="3">
        <f>IFERROR(__xludf.DUMMYFUNCTION("""COMPUTED_VALUE"""),2.0221025E7)</f>
        <v>20221025</v>
      </c>
      <c r="I134" s="3" t="str">
        <f>IFERROR(__xludf.DUMMYFUNCTION("""COMPUTED_VALUE"""),"visitudaipur")</f>
        <v>visitudaipur</v>
      </c>
      <c r="J134" s="3">
        <f>IFERROR(__xludf.DUMMYFUNCTION("""COMPUTED_VALUE"""),4565.0)</f>
        <v>4565</v>
      </c>
      <c r="K134" s="3" t="str">
        <f t="shared" ref="K134:L134" si="138">TRIM(F134)</f>
        <v>VfS</v>
      </c>
      <c r="L134" s="3" t="str">
        <f t="shared" si="138"/>
        <v>Instagram</v>
      </c>
      <c r="M134" s="3" t="str">
        <f t="shared" si="3"/>
        <v>Instagram</v>
      </c>
      <c r="N134" s="3" t="str">
        <f>IFERROR(__xludf.DUMMYFUNCTION("SPLIT(M134,""&amp;"")"),"Instagram")</f>
        <v>Instagram</v>
      </c>
      <c r="O134" s="3" t="str">
        <f t="shared" si="4"/>
        <v>Instagram</v>
      </c>
      <c r="P134" s="3" t="str">
        <f t="shared" si="5"/>
        <v>visitudaipur</v>
      </c>
      <c r="Q134" s="3" t="str">
        <f t="shared" si="6"/>
        <v>Visitudaipur</v>
      </c>
      <c r="R134" s="3">
        <f t="shared" si="7"/>
        <v>4565</v>
      </c>
    </row>
    <row r="135">
      <c r="A135" s="7" t="s">
        <v>140</v>
      </c>
      <c r="B135" s="8" t="s">
        <v>6</v>
      </c>
      <c r="C135" s="8">
        <v>54000.0</v>
      </c>
      <c r="E135" s="3" t="str">
        <f>IFERROR(__xludf.DUMMYFUNCTION("SPLIT(A135,""|"")")," VIN/OfflINe &amp;/20221028/Visitjodhpur/4566 ")</f>
        <v> VIN/OfflINe &amp;/20221028/Visitjodhpur/4566 </v>
      </c>
      <c r="F135" s="3" t="str">
        <f>IFERROR(__xludf.DUMMYFUNCTION("SPLIT(E135,""/"")")," VIN")</f>
        <v> VIN</v>
      </c>
      <c r="G135" s="3" t="str">
        <f>IFERROR(__xludf.DUMMYFUNCTION("""COMPUTED_VALUE"""),"OfflINe &amp;")</f>
        <v>OfflINe &amp;</v>
      </c>
      <c r="H135" s="3">
        <f>IFERROR(__xludf.DUMMYFUNCTION("""COMPUTED_VALUE"""),2.0221028E7)</f>
        <v>20221028</v>
      </c>
      <c r="I135" s="3" t="str">
        <f>IFERROR(__xludf.DUMMYFUNCTION("""COMPUTED_VALUE"""),"Visitjodhpur")</f>
        <v>Visitjodhpur</v>
      </c>
      <c r="J135" s="3">
        <f>IFERROR(__xludf.DUMMYFUNCTION("""COMPUTED_VALUE"""),4566.0)</f>
        <v>4566</v>
      </c>
      <c r="K135" s="3" t="str">
        <f t="shared" ref="K135:L135" si="139">TRIM(F135)</f>
        <v>VIN</v>
      </c>
      <c r="L135" s="3" t="str">
        <f t="shared" si="139"/>
        <v>OfflINe &amp;</v>
      </c>
      <c r="M135" s="3" t="str">
        <f t="shared" si="3"/>
        <v>Offline &amp;</v>
      </c>
      <c r="N135" s="3" t="str">
        <f>IFERROR(__xludf.DUMMYFUNCTION("SPLIT(M135,""&amp;"")"),"Offline ")</f>
        <v>Offline </v>
      </c>
      <c r="O135" s="3" t="str">
        <f t="shared" si="4"/>
        <v>Offline</v>
      </c>
      <c r="P135" s="3" t="str">
        <f t="shared" si="5"/>
        <v>Visitjodhpur</v>
      </c>
      <c r="Q135" s="3" t="str">
        <f t="shared" si="6"/>
        <v>Visitjodhpur</v>
      </c>
      <c r="R135" s="3">
        <f t="shared" si="7"/>
        <v>4566</v>
      </c>
    </row>
    <row r="136">
      <c r="A136" s="7" t="s">
        <v>141</v>
      </c>
      <c r="B136" s="8" t="s">
        <v>19</v>
      </c>
      <c r="C136" s="8">
        <v>53200.0</v>
      </c>
      <c r="E136" s="3" t="str">
        <f>IFERROR(__xludf.DUMMYFUNCTION("SPLIT(A136,""|"")")," CHQ/Facebook/20221101/Visitjaipur/5676 ")</f>
        <v> CHQ/Facebook/20221101/Visitjaipur/5676 </v>
      </c>
      <c r="F136" s="3" t="str">
        <f>IFERROR(__xludf.DUMMYFUNCTION("SPLIT(E136,""/"")")," CHQ")</f>
        <v> CHQ</v>
      </c>
      <c r="G136" s="3" t="str">
        <f>IFERROR(__xludf.DUMMYFUNCTION("""COMPUTED_VALUE"""),"Facebook")</f>
        <v>Facebook</v>
      </c>
      <c r="H136" s="3">
        <f>IFERROR(__xludf.DUMMYFUNCTION("""COMPUTED_VALUE"""),2.0221101E7)</f>
        <v>20221101</v>
      </c>
      <c r="I136" s="3" t="str">
        <f>IFERROR(__xludf.DUMMYFUNCTION("""COMPUTED_VALUE"""),"Visitjaipur")</f>
        <v>Visitjaipur</v>
      </c>
      <c r="J136" s="3">
        <f>IFERROR(__xludf.DUMMYFUNCTION("""COMPUTED_VALUE"""),5676.0)</f>
        <v>5676</v>
      </c>
      <c r="K136" s="3" t="str">
        <f t="shared" ref="K136:L136" si="140">TRIM(F136)</f>
        <v>CHQ</v>
      </c>
      <c r="L136" s="3" t="str">
        <f t="shared" si="140"/>
        <v>Facebook</v>
      </c>
      <c r="M136" s="3" t="str">
        <f t="shared" si="3"/>
        <v>Facebook</v>
      </c>
      <c r="N136" s="3" t="str">
        <f>IFERROR(__xludf.DUMMYFUNCTION("SPLIT(M136,""&amp;"")"),"Facebook")</f>
        <v>Facebook</v>
      </c>
      <c r="O136" s="3" t="str">
        <f t="shared" si="4"/>
        <v>Facebook</v>
      </c>
      <c r="P136" s="3" t="str">
        <f t="shared" si="5"/>
        <v>Visitjaipur</v>
      </c>
      <c r="Q136" s="3" t="str">
        <f t="shared" si="6"/>
        <v>Visitjaipur</v>
      </c>
      <c r="R136" s="3">
        <f t="shared" si="7"/>
        <v>5676</v>
      </c>
    </row>
    <row r="137">
      <c r="A137" s="7" t="s">
        <v>142</v>
      </c>
      <c r="B137" s="8" t="s">
        <v>19</v>
      </c>
      <c r="C137" s="8">
        <v>57200.0</v>
      </c>
      <c r="E137" s="3" t="str">
        <f>IFERROR(__xludf.DUMMYFUNCTION("SPLIT(A137,""|"")")," VfS/YouTube/20221104/Visitrajasthan/4564 ")</f>
        <v> VfS/YouTube/20221104/Visitrajasthan/4564 </v>
      </c>
      <c r="F137" s="3" t="str">
        <f>IFERROR(__xludf.DUMMYFUNCTION("SPLIT(E137,""/"")")," VfS")</f>
        <v> VfS</v>
      </c>
      <c r="G137" s="3" t="str">
        <f>IFERROR(__xludf.DUMMYFUNCTION("""COMPUTED_VALUE"""),"YouTube")</f>
        <v>YouTube</v>
      </c>
      <c r="H137" s="3">
        <f>IFERROR(__xludf.DUMMYFUNCTION("""COMPUTED_VALUE"""),2.0221104E7)</f>
        <v>20221104</v>
      </c>
      <c r="I137" s="3" t="str">
        <f>IFERROR(__xludf.DUMMYFUNCTION("""COMPUTED_VALUE"""),"Visitrajasthan")</f>
        <v>Visitrajasthan</v>
      </c>
      <c r="J137" s="3">
        <f>IFERROR(__xludf.DUMMYFUNCTION("""COMPUTED_VALUE"""),4564.0)</f>
        <v>4564</v>
      </c>
      <c r="K137" s="3" t="str">
        <f t="shared" ref="K137:L137" si="141">TRIM(F137)</f>
        <v>VfS</v>
      </c>
      <c r="L137" s="3" t="str">
        <f t="shared" si="141"/>
        <v>YouTube</v>
      </c>
      <c r="M137" s="3" t="str">
        <f t="shared" si="3"/>
        <v>Youtube</v>
      </c>
      <c r="N137" s="3" t="str">
        <f>IFERROR(__xludf.DUMMYFUNCTION("SPLIT(M137,""&amp;"")"),"Youtube")</f>
        <v>Youtube</v>
      </c>
      <c r="O137" s="3" t="str">
        <f t="shared" si="4"/>
        <v>Youtube</v>
      </c>
      <c r="P137" s="3" t="str">
        <f t="shared" si="5"/>
        <v>Visitrajasthan</v>
      </c>
      <c r="Q137" s="3" t="str">
        <f t="shared" si="6"/>
        <v>Visitrajasthan</v>
      </c>
      <c r="R137" s="3">
        <f t="shared" si="7"/>
        <v>4564</v>
      </c>
    </row>
    <row r="138">
      <c r="A138" s="7" t="s">
        <v>143</v>
      </c>
      <c r="B138" s="8" t="s">
        <v>19</v>
      </c>
      <c r="C138" s="8">
        <v>87200.0</v>
      </c>
      <c r="E138" s="3" t="str">
        <f>IFERROR(__xludf.DUMMYFUNCTION("SPLIT(A138,""|"")")," NEFT/Instagram/20221107/visitudaipur/4565 ")</f>
        <v> NEFT/Instagram/20221107/visitudaipur/4565 </v>
      </c>
      <c r="F138" s="3" t="str">
        <f>IFERROR(__xludf.DUMMYFUNCTION("SPLIT(E138,""/"")")," NEFT")</f>
        <v> NEFT</v>
      </c>
      <c r="G138" s="3" t="str">
        <f>IFERROR(__xludf.DUMMYFUNCTION("""COMPUTED_VALUE"""),"Instagram")</f>
        <v>Instagram</v>
      </c>
      <c r="H138" s="3">
        <f>IFERROR(__xludf.DUMMYFUNCTION("""COMPUTED_VALUE"""),2.0221107E7)</f>
        <v>20221107</v>
      </c>
      <c r="I138" s="3" t="str">
        <f>IFERROR(__xludf.DUMMYFUNCTION("""COMPUTED_VALUE"""),"visitudaipur")</f>
        <v>visitudaipur</v>
      </c>
      <c r="J138" s="3">
        <f>IFERROR(__xludf.DUMMYFUNCTION("""COMPUTED_VALUE"""),4565.0)</f>
        <v>4565</v>
      </c>
      <c r="K138" s="3" t="str">
        <f t="shared" ref="K138:L138" si="142">TRIM(F138)</f>
        <v>NEFT</v>
      </c>
      <c r="L138" s="3" t="str">
        <f t="shared" si="142"/>
        <v>Instagram</v>
      </c>
      <c r="M138" s="3" t="str">
        <f t="shared" si="3"/>
        <v>Instagram</v>
      </c>
      <c r="N138" s="3" t="str">
        <f>IFERROR(__xludf.DUMMYFUNCTION("SPLIT(M138,""&amp;"")"),"Instagram")</f>
        <v>Instagram</v>
      </c>
      <c r="O138" s="3" t="str">
        <f t="shared" si="4"/>
        <v>Instagram</v>
      </c>
      <c r="P138" s="3" t="str">
        <f t="shared" si="5"/>
        <v>visitudaipur</v>
      </c>
      <c r="Q138" s="3" t="str">
        <f t="shared" si="6"/>
        <v>Visitudaipur</v>
      </c>
      <c r="R138" s="3">
        <f t="shared" si="7"/>
        <v>4565</v>
      </c>
    </row>
    <row r="139">
      <c r="A139" s="7" t="s">
        <v>144</v>
      </c>
      <c r="B139" s="8" t="s">
        <v>19</v>
      </c>
      <c r="C139" s="8">
        <v>10300.0</v>
      </c>
      <c r="E139" s="3" t="str">
        <f>IFERROR(__xludf.DUMMYFUNCTION("SPLIT(A139,""|"")")," CHQ/Offline &amp;/20221110/Visitjodhpur/4566 ")</f>
        <v> CHQ/Offline &amp;/20221110/Visitjodhpur/4566 </v>
      </c>
      <c r="F139" s="3" t="str">
        <f>IFERROR(__xludf.DUMMYFUNCTION("SPLIT(E139,""/"")")," CHQ")</f>
        <v> CHQ</v>
      </c>
      <c r="G139" s="3" t="str">
        <f>IFERROR(__xludf.DUMMYFUNCTION("""COMPUTED_VALUE"""),"Offline &amp;")</f>
        <v>Offline &amp;</v>
      </c>
      <c r="H139" s="3">
        <f>IFERROR(__xludf.DUMMYFUNCTION("""COMPUTED_VALUE"""),2.022111E7)</f>
        <v>20221110</v>
      </c>
      <c r="I139" s="3" t="str">
        <f>IFERROR(__xludf.DUMMYFUNCTION("""COMPUTED_VALUE"""),"Visitjodhpur")</f>
        <v>Visitjodhpur</v>
      </c>
      <c r="J139" s="3">
        <f>IFERROR(__xludf.DUMMYFUNCTION("""COMPUTED_VALUE"""),4566.0)</f>
        <v>4566</v>
      </c>
      <c r="K139" s="3" t="str">
        <f t="shared" ref="K139:L139" si="143">TRIM(F139)</f>
        <v>CHQ</v>
      </c>
      <c r="L139" s="3" t="str">
        <f t="shared" si="143"/>
        <v>Offline &amp;</v>
      </c>
      <c r="M139" s="3" t="str">
        <f t="shared" si="3"/>
        <v>Offline &amp;</v>
      </c>
      <c r="N139" s="3" t="str">
        <f>IFERROR(__xludf.DUMMYFUNCTION("SPLIT(M139,""&amp;"")"),"Offline ")</f>
        <v>Offline </v>
      </c>
      <c r="O139" s="3" t="str">
        <f t="shared" si="4"/>
        <v>Offline</v>
      </c>
      <c r="P139" s="3" t="str">
        <f t="shared" si="5"/>
        <v>Visitjodhpur</v>
      </c>
      <c r="Q139" s="3" t="str">
        <f t="shared" si="6"/>
        <v>Visitjodhpur</v>
      </c>
      <c r="R139" s="3">
        <f t="shared" si="7"/>
        <v>4566</v>
      </c>
    </row>
    <row r="140">
      <c r="A140" s="7" t="s">
        <v>145</v>
      </c>
      <c r="B140" s="8" t="s">
        <v>19</v>
      </c>
      <c r="C140" s="8">
        <v>17100.0</v>
      </c>
      <c r="E140" s="3" t="str">
        <f>IFERROR(__xludf.DUMMYFUNCTION("SPLIT(A140,""|"")")," VfS/Google Ads/20221113/visitJaisalmer/3455 ")</f>
        <v> VfS/Google Ads/20221113/visitJaisalmer/3455 </v>
      </c>
      <c r="F140" s="3" t="str">
        <f>IFERROR(__xludf.DUMMYFUNCTION("SPLIT(E140,""/"")")," VfS")</f>
        <v> VfS</v>
      </c>
      <c r="G140" s="3" t="str">
        <f>IFERROR(__xludf.DUMMYFUNCTION("""COMPUTED_VALUE"""),"Google Ads")</f>
        <v>Google Ads</v>
      </c>
      <c r="H140" s="3">
        <f>IFERROR(__xludf.DUMMYFUNCTION("""COMPUTED_VALUE"""),2.0221113E7)</f>
        <v>20221113</v>
      </c>
      <c r="I140" s="3" t="str">
        <f>IFERROR(__xludf.DUMMYFUNCTION("""COMPUTED_VALUE"""),"visitJaisalmer")</f>
        <v>visitJaisalmer</v>
      </c>
      <c r="J140" s="3">
        <f>IFERROR(__xludf.DUMMYFUNCTION("""COMPUTED_VALUE"""),3455.0)</f>
        <v>3455</v>
      </c>
      <c r="K140" s="3" t="str">
        <f t="shared" ref="K140:L140" si="144">TRIM(F140)</f>
        <v>VfS</v>
      </c>
      <c r="L140" s="3" t="str">
        <f t="shared" si="144"/>
        <v>Google Ads</v>
      </c>
      <c r="M140" s="3" t="str">
        <f t="shared" si="3"/>
        <v>Google Ads</v>
      </c>
      <c r="N140" s="3" t="str">
        <f>IFERROR(__xludf.DUMMYFUNCTION("SPLIT(M140,""&amp;"")"),"Google Ads")</f>
        <v>Google Ads</v>
      </c>
      <c r="O140" s="3" t="str">
        <f t="shared" si="4"/>
        <v>Google Ads</v>
      </c>
      <c r="P140" s="3" t="str">
        <f t="shared" si="5"/>
        <v>visitJaisalmer</v>
      </c>
      <c r="Q140" s="3" t="str">
        <f t="shared" si="6"/>
        <v>Visitjaisalmer</v>
      </c>
      <c r="R140" s="3">
        <f t="shared" si="7"/>
        <v>3455</v>
      </c>
    </row>
    <row r="141">
      <c r="A141" s="7" t="s">
        <v>146</v>
      </c>
      <c r="B141" s="8" t="s">
        <v>19</v>
      </c>
      <c r="C141" s="8">
        <v>42800.0</v>
      </c>
      <c r="E141" s="3" t="str">
        <f>IFERROR(__xludf.DUMMYFUNCTION("SPLIT(A141,""|"")")," VIN/TwiTter/20221116/visitbikaner/5666 ")</f>
        <v> VIN/TwiTter/20221116/visitbikaner/5666 </v>
      </c>
      <c r="F141" s="3" t="str">
        <f>IFERROR(__xludf.DUMMYFUNCTION("SPLIT(E141,""/"")")," VIN")</f>
        <v> VIN</v>
      </c>
      <c r="G141" s="3" t="str">
        <f>IFERROR(__xludf.DUMMYFUNCTION("""COMPUTED_VALUE"""),"TwiTter")</f>
        <v>TwiTter</v>
      </c>
      <c r="H141" s="3">
        <f>IFERROR(__xludf.DUMMYFUNCTION("""COMPUTED_VALUE"""),2.0221116E7)</f>
        <v>20221116</v>
      </c>
      <c r="I141" s="3" t="str">
        <f>IFERROR(__xludf.DUMMYFUNCTION("""COMPUTED_VALUE"""),"visitbikaner")</f>
        <v>visitbikaner</v>
      </c>
      <c r="J141" s="3">
        <f>IFERROR(__xludf.DUMMYFUNCTION("""COMPUTED_VALUE"""),5666.0)</f>
        <v>5666</v>
      </c>
      <c r="K141" s="3" t="str">
        <f t="shared" ref="K141:L141" si="145">TRIM(F141)</f>
        <v>VIN</v>
      </c>
      <c r="L141" s="3" t="str">
        <f t="shared" si="145"/>
        <v>TwiTter</v>
      </c>
      <c r="M141" s="3" t="str">
        <f t="shared" si="3"/>
        <v>Twitter</v>
      </c>
      <c r="N141" s="3" t="str">
        <f>IFERROR(__xludf.DUMMYFUNCTION("SPLIT(M141,""&amp;"")"),"Twitter")</f>
        <v>Twitter</v>
      </c>
      <c r="O141" s="3" t="str">
        <f t="shared" si="4"/>
        <v>Twitter</v>
      </c>
      <c r="P141" s="3" t="str">
        <f t="shared" si="5"/>
        <v>visitbikaner</v>
      </c>
      <c r="Q141" s="3" t="str">
        <f t="shared" si="6"/>
        <v>Visitbikaner</v>
      </c>
      <c r="R141" s="3">
        <f t="shared" si="7"/>
        <v>5666</v>
      </c>
    </row>
    <row r="142">
      <c r="A142" s="7" t="s">
        <v>147</v>
      </c>
      <c r="B142" s="8" t="s">
        <v>19</v>
      </c>
      <c r="C142" s="8">
        <v>72800.0</v>
      </c>
      <c r="E142" s="3" t="str">
        <f>IFERROR(__xludf.DUMMYFUNCTION("SPLIT(A142,""|"")")," NEFT/Facebook/20221119/Visitjaipur/5676 ")</f>
        <v> NEFT/Facebook/20221119/Visitjaipur/5676 </v>
      </c>
      <c r="F142" s="3" t="str">
        <f>IFERROR(__xludf.DUMMYFUNCTION("SPLIT(E142,""/"")")," NEFT")</f>
        <v> NEFT</v>
      </c>
      <c r="G142" s="3" t="str">
        <f>IFERROR(__xludf.DUMMYFUNCTION("""COMPUTED_VALUE"""),"Facebook")</f>
        <v>Facebook</v>
      </c>
      <c r="H142" s="3">
        <f>IFERROR(__xludf.DUMMYFUNCTION("""COMPUTED_VALUE"""),2.0221119E7)</f>
        <v>20221119</v>
      </c>
      <c r="I142" s="3" t="str">
        <f>IFERROR(__xludf.DUMMYFUNCTION("""COMPUTED_VALUE"""),"Visitjaipur")</f>
        <v>Visitjaipur</v>
      </c>
      <c r="J142" s="3">
        <f>IFERROR(__xludf.DUMMYFUNCTION("""COMPUTED_VALUE"""),5676.0)</f>
        <v>5676</v>
      </c>
      <c r="K142" s="3" t="str">
        <f t="shared" ref="K142:L142" si="146">TRIM(F142)</f>
        <v>NEFT</v>
      </c>
      <c r="L142" s="3" t="str">
        <f t="shared" si="146"/>
        <v>Facebook</v>
      </c>
      <c r="M142" s="3" t="str">
        <f t="shared" si="3"/>
        <v>Facebook</v>
      </c>
      <c r="N142" s="3" t="str">
        <f>IFERROR(__xludf.DUMMYFUNCTION("SPLIT(M142,""&amp;"")"),"Facebook")</f>
        <v>Facebook</v>
      </c>
      <c r="O142" s="3" t="str">
        <f t="shared" si="4"/>
        <v>Facebook</v>
      </c>
      <c r="P142" s="3" t="str">
        <f t="shared" si="5"/>
        <v>Visitjaipur</v>
      </c>
      <c r="Q142" s="3" t="str">
        <f t="shared" si="6"/>
        <v>Visitjaipur</v>
      </c>
      <c r="R142" s="3">
        <f t="shared" si="7"/>
        <v>5676</v>
      </c>
    </row>
    <row r="143">
      <c r="A143" s="7" t="s">
        <v>148</v>
      </c>
      <c r="B143" s="8" t="s">
        <v>19</v>
      </c>
      <c r="C143" s="8">
        <v>92100.0</v>
      </c>
      <c r="E143" s="3" t="str">
        <f>IFERROR(__xludf.DUMMYFUNCTION("SPLIT(A143,""|"")")," CHQ/YouTube &amp;/20221122/Visitrajasthan/4564 ")</f>
        <v> CHQ/YouTube &amp;/20221122/Visitrajasthan/4564 </v>
      </c>
      <c r="F143" s="3" t="str">
        <f>IFERROR(__xludf.DUMMYFUNCTION("SPLIT(E143,""/"")")," CHQ")</f>
        <v> CHQ</v>
      </c>
      <c r="G143" s="3" t="str">
        <f>IFERROR(__xludf.DUMMYFUNCTION("""COMPUTED_VALUE"""),"YouTube &amp;")</f>
        <v>YouTube &amp;</v>
      </c>
      <c r="H143" s="3">
        <f>IFERROR(__xludf.DUMMYFUNCTION("""COMPUTED_VALUE"""),2.0221122E7)</f>
        <v>20221122</v>
      </c>
      <c r="I143" s="3" t="str">
        <f>IFERROR(__xludf.DUMMYFUNCTION("""COMPUTED_VALUE"""),"Visitrajasthan")</f>
        <v>Visitrajasthan</v>
      </c>
      <c r="J143" s="3">
        <f>IFERROR(__xludf.DUMMYFUNCTION("""COMPUTED_VALUE"""),4564.0)</f>
        <v>4564</v>
      </c>
      <c r="K143" s="3" t="str">
        <f t="shared" ref="K143:L143" si="147">TRIM(F143)</f>
        <v>CHQ</v>
      </c>
      <c r="L143" s="3" t="str">
        <f t="shared" si="147"/>
        <v>YouTube &amp;</v>
      </c>
      <c r="M143" s="3" t="str">
        <f t="shared" si="3"/>
        <v>Youtube &amp;</v>
      </c>
      <c r="N143" s="3" t="str">
        <f>IFERROR(__xludf.DUMMYFUNCTION("SPLIT(M143,""&amp;"")"),"Youtube ")</f>
        <v>Youtube </v>
      </c>
      <c r="O143" s="3" t="str">
        <f t="shared" si="4"/>
        <v>Youtube</v>
      </c>
      <c r="P143" s="3" t="str">
        <f t="shared" si="5"/>
        <v>Visitrajasthan</v>
      </c>
      <c r="Q143" s="3" t="str">
        <f t="shared" si="6"/>
        <v>Visitrajasthan</v>
      </c>
      <c r="R143" s="3">
        <f t="shared" si="7"/>
        <v>4564</v>
      </c>
    </row>
    <row r="144">
      <c r="A144" s="7" t="s">
        <v>149</v>
      </c>
      <c r="B144" s="8" t="s">
        <v>19</v>
      </c>
      <c r="C144" s="8">
        <v>29500.0</v>
      </c>
      <c r="E144" s="3" t="str">
        <f>IFERROR(__xludf.DUMMYFUNCTION("SPLIT(A144,""|"")")," VfS/Instagram/20221125/visitudaipur/4565 ")</f>
        <v> VfS/Instagram/20221125/visitudaipur/4565 </v>
      </c>
      <c r="F144" s="3" t="str">
        <f>IFERROR(__xludf.DUMMYFUNCTION("SPLIT(E144,""/"")")," VfS")</f>
        <v> VfS</v>
      </c>
      <c r="G144" s="3" t="str">
        <f>IFERROR(__xludf.DUMMYFUNCTION("""COMPUTED_VALUE"""),"Instagram")</f>
        <v>Instagram</v>
      </c>
      <c r="H144" s="3">
        <f>IFERROR(__xludf.DUMMYFUNCTION("""COMPUTED_VALUE"""),2.0221125E7)</f>
        <v>20221125</v>
      </c>
      <c r="I144" s="3" t="str">
        <f>IFERROR(__xludf.DUMMYFUNCTION("""COMPUTED_VALUE"""),"visitudaipur")</f>
        <v>visitudaipur</v>
      </c>
      <c r="J144" s="3">
        <f>IFERROR(__xludf.DUMMYFUNCTION("""COMPUTED_VALUE"""),4565.0)</f>
        <v>4565</v>
      </c>
      <c r="K144" s="3" t="str">
        <f t="shared" ref="K144:L144" si="148">TRIM(F144)</f>
        <v>VfS</v>
      </c>
      <c r="L144" s="3" t="str">
        <f t="shared" si="148"/>
        <v>Instagram</v>
      </c>
      <c r="M144" s="3" t="str">
        <f t="shared" si="3"/>
        <v>Instagram</v>
      </c>
      <c r="N144" s="3" t="str">
        <f>IFERROR(__xludf.DUMMYFUNCTION("SPLIT(M144,""&amp;"")"),"Instagram")</f>
        <v>Instagram</v>
      </c>
      <c r="O144" s="3" t="str">
        <f t="shared" si="4"/>
        <v>Instagram</v>
      </c>
      <c r="P144" s="3" t="str">
        <f t="shared" si="5"/>
        <v>visitudaipur</v>
      </c>
      <c r="Q144" s="3" t="str">
        <f t="shared" si="6"/>
        <v>Visitudaipur</v>
      </c>
      <c r="R144" s="3">
        <f t="shared" si="7"/>
        <v>4565</v>
      </c>
    </row>
    <row r="145">
      <c r="A145" s="7" t="s">
        <v>150</v>
      </c>
      <c r="B145" s="8" t="s">
        <v>19</v>
      </c>
      <c r="C145" s="8">
        <v>21800.0</v>
      </c>
      <c r="E145" s="3" t="str">
        <f>IFERROR(__xludf.DUMMYFUNCTION("SPLIT(A145,""|"")")," VIN/OfflINe &amp;/20221128/Visitjodhpur/4566 ")</f>
        <v> VIN/OfflINe &amp;/20221128/Visitjodhpur/4566 </v>
      </c>
      <c r="F145" s="3" t="str">
        <f>IFERROR(__xludf.DUMMYFUNCTION("SPLIT(E145,""/"")")," VIN")</f>
        <v> VIN</v>
      </c>
      <c r="G145" s="3" t="str">
        <f>IFERROR(__xludf.DUMMYFUNCTION("""COMPUTED_VALUE"""),"OfflINe &amp;")</f>
        <v>OfflINe &amp;</v>
      </c>
      <c r="H145" s="3">
        <f>IFERROR(__xludf.DUMMYFUNCTION("""COMPUTED_VALUE"""),2.0221128E7)</f>
        <v>20221128</v>
      </c>
      <c r="I145" s="3" t="str">
        <f>IFERROR(__xludf.DUMMYFUNCTION("""COMPUTED_VALUE"""),"Visitjodhpur")</f>
        <v>Visitjodhpur</v>
      </c>
      <c r="J145" s="3">
        <f>IFERROR(__xludf.DUMMYFUNCTION("""COMPUTED_VALUE"""),4566.0)</f>
        <v>4566</v>
      </c>
      <c r="K145" s="3" t="str">
        <f t="shared" ref="K145:L145" si="149">TRIM(F145)</f>
        <v>VIN</v>
      </c>
      <c r="L145" s="3" t="str">
        <f t="shared" si="149"/>
        <v>OfflINe &amp;</v>
      </c>
      <c r="M145" s="3" t="str">
        <f t="shared" si="3"/>
        <v>Offline &amp;</v>
      </c>
      <c r="N145" s="3" t="str">
        <f>IFERROR(__xludf.DUMMYFUNCTION("SPLIT(M145,""&amp;"")"),"Offline ")</f>
        <v>Offline </v>
      </c>
      <c r="O145" s="3" t="str">
        <f t="shared" si="4"/>
        <v>Offline</v>
      </c>
      <c r="P145" s="3" t="str">
        <f t="shared" si="5"/>
        <v>Visitjodhpur</v>
      </c>
      <c r="Q145" s="3" t="str">
        <f t="shared" si="6"/>
        <v>Visitjodhpur</v>
      </c>
      <c r="R145" s="3">
        <f t="shared" si="7"/>
        <v>4566</v>
      </c>
    </row>
    <row r="146">
      <c r="A146" s="7" t="s">
        <v>121</v>
      </c>
      <c r="B146" s="8" t="s">
        <v>20</v>
      </c>
      <c r="C146" s="8">
        <v>97300.0</v>
      </c>
      <c r="E146" s="3" t="str">
        <f>IFERROR(__xludf.DUMMYFUNCTION("SPLIT(A146,""|"")")," CHQ/Facebook/20221201/Visitjaipur/5676 ")</f>
        <v> CHQ/Facebook/20221201/Visitjaipur/5676 </v>
      </c>
      <c r="F146" s="3" t="str">
        <f>IFERROR(__xludf.DUMMYFUNCTION("SPLIT(E146,""/"")")," CHQ")</f>
        <v> CHQ</v>
      </c>
      <c r="G146" s="3" t="str">
        <f>IFERROR(__xludf.DUMMYFUNCTION("""COMPUTED_VALUE"""),"Facebook")</f>
        <v>Facebook</v>
      </c>
      <c r="H146" s="3">
        <f>IFERROR(__xludf.DUMMYFUNCTION("""COMPUTED_VALUE"""),2.0221201E7)</f>
        <v>20221201</v>
      </c>
      <c r="I146" s="3" t="str">
        <f>IFERROR(__xludf.DUMMYFUNCTION("""COMPUTED_VALUE"""),"Visitjaipur")</f>
        <v>Visitjaipur</v>
      </c>
      <c r="J146" s="3">
        <f>IFERROR(__xludf.DUMMYFUNCTION("""COMPUTED_VALUE"""),5676.0)</f>
        <v>5676</v>
      </c>
      <c r="K146" s="3" t="str">
        <f t="shared" ref="K146:L146" si="150">TRIM(F146)</f>
        <v>CHQ</v>
      </c>
      <c r="L146" s="3" t="str">
        <f t="shared" si="150"/>
        <v>Facebook</v>
      </c>
      <c r="M146" s="3" t="str">
        <f t="shared" si="3"/>
        <v>Facebook</v>
      </c>
      <c r="N146" s="3" t="str">
        <f>IFERROR(__xludf.DUMMYFUNCTION("SPLIT(M146,""&amp;"")"),"Facebook")</f>
        <v>Facebook</v>
      </c>
      <c r="O146" s="3" t="str">
        <f t="shared" si="4"/>
        <v>Facebook</v>
      </c>
      <c r="P146" s="3" t="str">
        <f t="shared" si="5"/>
        <v>Visitjaipur</v>
      </c>
      <c r="Q146" s="3" t="str">
        <f t="shared" si="6"/>
        <v>Visitjaipur</v>
      </c>
      <c r="R146" s="3">
        <f t="shared" si="7"/>
        <v>5676</v>
      </c>
    </row>
    <row r="147">
      <c r="A147" s="7" t="s">
        <v>122</v>
      </c>
      <c r="B147" s="8" t="s">
        <v>20</v>
      </c>
      <c r="C147" s="8">
        <v>60200.0</v>
      </c>
      <c r="E147" s="3" t="str">
        <f>IFERROR(__xludf.DUMMYFUNCTION("SPLIT(A147,""|"")")," VfS/YouTube/20221204/Visitrajasthan/4564 ")</f>
        <v> VfS/YouTube/20221204/Visitrajasthan/4564 </v>
      </c>
      <c r="F147" s="3" t="str">
        <f>IFERROR(__xludf.DUMMYFUNCTION("SPLIT(E147,""/"")")," VfS")</f>
        <v> VfS</v>
      </c>
      <c r="G147" s="3" t="str">
        <f>IFERROR(__xludf.DUMMYFUNCTION("""COMPUTED_VALUE"""),"YouTube")</f>
        <v>YouTube</v>
      </c>
      <c r="H147" s="3">
        <f>IFERROR(__xludf.DUMMYFUNCTION("""COMPUTED_VALUE"""),2.0221204E7)</f>
        <v>20221204</v>
      </c>
      <c r="I147" s="3" t="str">
        <f>IFERROR(__xludf.DUMMYFUNCTION("""COMPUTED_VALUE"""),"Visitrajasthan")</f>
        <v>Visitrajasthan</v>
      </c>
      <c r="J147" s="3">
        <f>IFERROR(__xludf.DUMMYFUNCTION("""COMPUTED_VALUE"""),4564.0)</f>
        <v>4564</v>
      </c>
      <c r="K147" s="3" t="str">
        <f t="shared" ref="K147:L147" si="151">TRIM(F147)</f>
        <v>VfS</v>
      </c>
      <c r="L147" s="3" t="str">
        <f t="shared" si="151"/>
        <v>YouTube</v>
      </c>
      <c r="M147" s="3" t="str">
        <f t="shared" si="3"/>
        <v>Youtube</v>
      </c>
      <c r="N147" s="3" t="str">
        <f>IFERROR(__xludf.DUMMYFUNCTION("SPLIT(M147,""&amp;"")"),"Youtube")</f>
        <v>Youtube</v>
      </c>
      <c r="O147" s="3" t="str">
        <f t="shared" si="4"/>
        <v>Youtube</v>
      </c>
      <c r="P147" s="3" t="str">
        <f t="shared" si="5"/>
        <v>Visitrajasthan</v>
      </c>
      <c r="Q147" s="3" t="str">
        <f t="shared" si="6"/>
        <v>Visitrajasthan</v>
      </c>
      <c r="R147" s="3">
        <f t="shared" si="7"/>
        <v>4564</v>
      </c>
    </row>
    <row r="148">
      <c r="A148" s="7" t="s">
        <v>123</v>
      </c>
      <c r="B148" s="8" t="s">
        <v>20</v>
      </c>
      <c r="C148" s="8">
        <v>50300.0</v>
      </c>
      <c r="E148" s="3" t="str">
        <f>IFERROR(__xludf.DUMMYFUNCTION("SPLIT(A148,""|"")")," NEFT/Instagram/20221207/visitudaipur/4565 ")</f>
        <v> NEFT/Instagram/20221207/visitudaipur/4565 </v>
      </c>
      <c r="F148" s="3" t="str">
        <f>IFERROR(__xludf.DUMMYFUNCTION("SPLIT(E148,""/"")")," NEFT")</f>
        <v> NEFT</v>
      </c>
      <c r="G148" s="3" t="str">
        <f>IFERROR(__xludf.DUMMYFUNCTION("""COMPUTED_VALUE"""),"Instagram")</f>
        <v>Instagram</v>
      </c>
      <c r="H148" s="3">
        <f>IFERROR(__xludf.DUMMYFUNCTION("""COMPUTED_VALUE"""),2.0221207E7)</f>
        <v>20221207</v>
      </c>
      <c r="I148" s="3" t="str">
        <f>IFERROR(__xludf.DUMMYFUNCTION("""COMPUTED_VALUE"""),"visitudaipur")</f>
        <v>visitudaipur</v>
      </c>
      <c r="J148" s="3">
        <f>IFERROR(__xludf.DUMMYFUNCTION("""COMPUTED_VALUE"""),4565.0)</f>
        <v>4565</v>
      </c>
      <c r="K148" s="3" t="str">
        <f t="shared" ref="K148:L148" si="152">TRIM(F148)</f>
        <v>NEFT</v>
      </c>
      <c r="L148" s="3" t="str">
        <f t="shared" si="152"/>
        <v>Instagram</v>
      </c>
      <c r="M148" s="3" t="str">
        <f t="shared" si="3"/>
        <v>Instagram</v>
      </c>
      <c r="N148" s="3" t="str">
        <f>IFERROR(__xludf.DUMMYFUNCTION("SPLIT(M148,""&amp;"")"),"Instagram")</f>
        <v>Instagram</v>
      </c>
      <c r="O148" s="3" t="str">
        <f t="shared" si="4"/>
        <v>Instagram</v>
      </c>
      <c r="P148" s="3" t="str">
        <f t="shared" si="5"/>
        <v>visitudaipur</v>
      </c>
      <c r="Q148" s="3" t="str">
        <f t="shared" si="6"/>
        <v>Visitudaipur</v>
      </c>
      <c r="R148" s="3">
        <f t="shared" si="7"/>
        <v>4565</v>
      </c>
    </row>
    <row r="149">
      <c r="A149" s="7" t="s">
        <v>124</v>
      </c>
      <c r="B149" s="8" t="s">
        <v>20</v>
      </c>
      <c r="C149" s="8">
        <v>57700.0</v>
      </c>
      <c r="E149" s="3" t="str">
        <f>IFERROR(__xludf.DUMMYFUNCTION("SPLIT(A149,""|"")")," CHQ/Offline &amp;/20221210/Visitjodhpur/4566 ")</f>
        <v> CHQ/Offline &amp;/20221210/Visitjodhpur/4566 </v>
      </c>
      <c r="F149" s="3" t="str">
        <f>IFERROR(__xludf.DUMMYFUNCTION("SPLIT(E149,""/"")")," CHQ")</f>
        <v> CHQ</v>
      </c>
      <c r="G149" s="3" t="str">
        <f>IFERROR(__xludf.DUMMYFUNCTION("""COMPUTED_VALUE"""),"Offline &amp;")</f>
        <v>Offline &amp;</v>
      </c>
      <c r="H149" s="3">
        <f>IFERROR(__xludf.DUMMYFUNCTION("""COMPUTED_VALUE"""),2.022121E7)</f>
        <v>20221210</v>
      </c>
      <c r="I149" s="3" t="str">
        <f>IFERROR(__xludf.DUMMYFUNCTION("""COMPUTED_VALUE"""),"Visitjodhpur")</f>
        <v>Visitjodhpur</v>
      </c>
      <c r="J149" s="3">
        <f>IFERROR(__xludf.DUMMYFUNCTION("""COMPUTED_VALUE"""),4566.0)</f>
        <v>4566</v>
      </c>
      <c r="K149" s="3" t="str">
        <f t="shared" ref="K149:L149" si="153">TRIM(F149)</f>
        <v>CHQ</v>
      </c>
      <c r="L149" s="3" t="str">
        <f t="shared" si="153"/>
        <v>Offline &amp;</v>
      </c>
      <c r="M149" s="3" t="str">
        <f t="shared" si="3"/>
        <v>Offline &amp;</v>
      </c>
      <c r="N149" s="3" t="str">
        <f>IFERROR(__xludf.DUMMYFUNCTION("SPLIT(M149,""&amp;"")"),"Offline ")</f>
        <v>Offline </v>
      </c>
      <c r="O149" s="3" t="str">
        <f t="shared" si="4"/>
        <v>Offline</v>
      </c>
      <c r="P149" s="3" t="str">
        <f t="shared" si="5"/>
        <v>Visitjodhpur</v>
      </c>
      <c r="Q149" s="3" t="str">
        <f t="shared" si="6"/>
        <v>Visitjodhpur</v>
      </c>
      <c r="R149" s="3">
        <f t="shared" si="7"/>
        <v>4566</v>
      </c>
    </row>
    <row r="150">
      <c r="A150" s="7" t="s">
        <v>125</v>
      </c>
      <c r="B150" s="8" t="s">
        <v>20</v>
      </c>
      <c r="C150" s="8">
        <v>86900.0</v>
      </c>
      <c r="E150" s="3" t="str">
        <f>IFERROR(__xludf.DUMMYFUNCTION("SPLIT(A150,""|"")")," VfS/Google Ads/20221213/visitJaisalmer/3455 ")</f>
        <v> VfS/Google Ads/20221213/visitJaisalmer/3455 </v>
      </c>
      <c r="F150" s="3" t="str">
        <f>IFERROR(__xludf.DUMMYFUNCTION("SPLIT(E150,""/"")")," VfS")</f>
        <v> VfS</v>
      </c>
      <c r="G150" s="3" t="str">
        <f>IFERROR(__xludf.DUMMYFUNCTION("""COMPUTED_VALUE"""),"Google Ads")</f>
        <v>Google Ads</v>
      </c>
      <c r="H150" s="3">
        <f>IFERROR(__xludf.DUMMYFUNCTION("""COMPUTED_VALUE"""),2.0221213E7)</f>
        <v>20221213</v>
      </c>
      <c r="I150" s="3" t="str">
        <f>IFERROR(__xludf.DUMMYFUNCTION("""COMPUTED_VALUE"""),"visitJaisalmer")</f>
        <v>visitJaisalmer</v>
      </c>
      <c r="J150" s="3">
        <f>IFERROR(__xludf.DUMMYFUNCTION("""COMPUTED_VALUE"""),3455.0)</f>
        <v>3455</v>
      </c>
      <c r="K150" s="3" t="str">
        <f t="shared" ref="K150:L150" si="154">TRIM(F150)</f>
        <v>VfS</v>
      </c>
      <c r="L150" s="3" t="str">
        <f t="shared" si="154"/>
        <v>Google Ads</v>
      </c>
      <c r="M150" s="3" t="str">
        <f t="shared" si="3"/>
        <v>Google Ads</v>
      </c>
      <c r="N150" s="3" t="str">
        <f>IFERROR(__xludf.DUMMYFUNCTION("SPLIT(M150,""&amp;"")"),"Google Ads")</f>
        <v>Google Ads</v>
      </c>
      <c r="O150" s="3" t="str">
        <f t="shared" si="4"/>
        <v>Google Ads</v>
      </c>
      <c r="P150" s="3" t="str">
        <f t="shared" si="5"/>
        <v>visitJaisalmer</v>
      </c>
      <c r="Q150" s="3" t="str">
        <f t="shared" si="6"/>
        <v>Visitjaisalmer</v>
      </c>
      <c r="R150" s="3">
        <f t="shared" si="7"/>
        <v>3455</v>
      </c>
    </row>
    <row r="151">
      <c r="A151" s="7" t="s">
        <v>126</v>
      </c>
      <c r="B151" s="8" t="s">
        <v>20</v>
      </c>
      <c r="C151" s="8">
        <v>64800.0</v>
      </c>
      <c r="E151" s="3" t="str">
        <f>IFERROR(__xludf.DUMMYFUNCTION("SPLIT(A151,""|"")")," VIN/TwiTter/20221216/visitbikaner/5666 ")</f>
        <v> VIN/TwiTter/20221216/visitbikaner/5666 </v>
      </c>
      <c r="F151" s="3" t="str">
        <f>IFERROR(__xludf.DUMMYFUNCTION("SPLIT(E151,""/"")")," VIN")</f>
        <v> VIN</v>
      </c>
      <c r="G151" s="3" t="str">
        <f>IFERROR(__xludf.DUMMYFUNCTION("""COMPUTED_VALUE"""),"TwiTter")</f>
        <v>TwiTter</v>
      </c>
      <c r="H151" s="3">
        <f>IFERROR(__xludf.DUMMYFUNCTION("""COMPUTED_VALUE"""),2.0221216E7)</f>
        <v>20221216</v>
      </c>
      <c r="I151" s="3" t="str">
        <f>IFERROR(__xludf.DUMMYFUNCTION("""COMPUTED_VALUE"""),"visitbikaner")</f>
        <v>visitbikaner</v>
      </c>
      <c r="J151" s="3">
        <f>IFERROR(__xludf.DUMMYFUNCTION("""COMPUTED_VALUE"""),5666.0)</f>
        <v>5666</v>
      </c>
      <c r="K151" s="3" t="str">
        <f t="shared" ref="K151:L151" si="155">TRIM(F151)</f>
        <v>VIN</v>
      </c>
      <c r="L151" s="3" t="str">
        <f t="shared" si="155"/>
        <v>TwiTter</v>
      </c>
      <c r="M151" s="3" t="str">
        <f t="shared" si="3"/>
        <v>Twitter</v>
      </c>
      <c r="N151" s="3" t="str">
        <f>IFERROR(__xludf.DUMMYFUNCTION("SPLIT(M151,""&amp;"")"),"Twitter")</f>
        <v>Twitter</v>
      </c>
      <c r="O151" s="3" t="str">
        <f t="shared" si="4"/>
        <v>Twitter</v>
      </c>
      <c r="P151" s="3" t="str">
        <f t="shared" si="5"/>
        <v>visitbikaner</v>
      </c>
      <c r="Q151" s="3" t="str">
        <f t="shared" si="6"/>
        <v>Visitbikaner</v>
      </c>
      <c r="R151" s="3">
        <f t="shared" si="7"/>
        <v>5666</v>
      </c>
    </row>
    <row r="152">
      <c r="A152" s="7" t="s">
        <v>127</v>
      </c>
      <c r="B152" s="8" t="s">
        <v>20</v>
      </c>
      <c r="C152" s="8">
        <v>60700.0</v>
      </c>
      <c r="E152" s="3" t="str">
        <f>IFERROR(__xludf.DUMMYFUNCTION("SPLIT(A152,""|"")")," NEFT/Facebook/20221219/Visitjaipur/5676 ")</f>
        <v> NEFT/Facebook/20221219/Visitjaipur/5676 </v>
      </c>
      <c r="F152" s="3" t="str">
        <f>IFERROR(__xludf.DUMMYFUNCTION("SPLIT(E152,""/"")")," NEFT")</f>
        <v> NEFT</v>
      </c>
      <c r="G152" s="3" t="str">
        <f>IFERROR(__xludf.DUMMYFUNCTION("""COMPUTED_VALUE"""),"Facebook")</f>
        <v>Facebook</v>
      </c>
      <c r="H152" s="3">
        <f>IFERROR(__xludf.DUMMYFUNCTION("""COMPUTED_VALUE"""),2.0221219E7)</f>
        <v>20221219</v>
      </c>
      <c r="I152" s="3" t="str">
        <f>IFERROR(__xludf.DUMMYFUNCTION("""COMPUTED_VALUE"""),"Visitjaipur")</f>
        <v>Visitjaipur</v>
      </c>
      <c r="J152" s="3">
        <f>IFERROR(__xludf.DUMMYFUNCTION("""COMPUTED_VALUE"""),5676.0)</f>
        <v>5676</v>
      </c>
      <c r="K152" s="3" t="str">
        <f t="shared" ref="K152:L152" si="156">TRIM(F152)</f>
        <v>NEFT</v>
      </c>
      <c r="L152" s="3" t="str">
        <f t="shared" si="156"/>
        <v>Facebook</v>
      </c>
      <c r="M152" s="3" t="str">
        <f t="shared" si="3"/>
        <v>Facebook</v>
      </c>
      <c r="N152" s="3" t="str">
        <f>IFERROR(__xludf.DUMMYFUNCTION("SPLIT(M152,""&amp;"")"),"Facebook")</f>
        <v>Facebook</v>
      </c>
      <c r="O152" s="3" t="str">
        <f t="shared" si="4"/>
        <v>Facebook</v>
      </c>
      <c r="P152" s="3" t="str">
        <f t="shared" si="5"/>
        <v>Visitjaipur</v>
      </c>
      <c r="Q152" s="3" t="str">
        <f t="shared" si="6"/>
        <v>Visitjaipur</v>
      </c>
      <c r="R152" s="3">
        <f t="shared" si="7"/>
        <v>5676</v>
      </c>
    </row>
    <row r="153">
      <c r="A153" s="7" t="s">
        <v>128</v>
      </c>
      <c r="B153" s="8" t="s">
        <v>20</v>
      </c>
      <c r="C153" s="8">
        <v>73700.0</v>
      </c>
      <c r="E153" s="3" t="str">
        <f>IFERROR(__xludf.DUMMYFUNCTION("SPLIT(A153,""|"")")," CHQ/YouTube &amp;/20221222/Visitrajasthan/4564 ")</f>
        <v> CHQ/YouTube &amp;/20221222/Visitrajasthan/4564 </v>
      </c>
      <c r="F153" s="3" t="str">
        <f>IFERROR(__xludf.DUMMYFUNCTION("SPLIT(E153,""/"")")," CHQ")</f>
        <v> CHQ</v>
      </c>
      <c r="G153" s="3" t="str">
        <f>IFERROR(__xludf.DUMMYFUNCTION("""COMPUTED_VALUE"""),"YouTube &amp;")</f>
        <v>YouTube &amp;</v>
      </c>
      <c r="H153" s="3">
        <f>IFERROR(__xludf.DUMMYFUNCTION("""COMPUTED_VALUE"""),2.0221222E7)</f>
        <v>20221222</v>
      </c>
      <c r="I153" s="3" t="str">
        <f>IFERROR(__xludf.DUMMYFUNCTION("""COMPUTED_VALUE"""),"Visitrajasthan")</f>
        <v>Visitrajasthan</v>
      </c>
      <c r="J153" s="3">
        <f>IFERROR(__xludf.DUMMYFUNCTION("""COMPUTED_VALUE"""),4564.0)</f>
        <v>4564</v>
      </c>
      <c r="K153" s="3" t="str">
        <f t="shared" ref="K153:L153" si="157">TRIM(F153)</f>
        <v>CHQ</v>
      </c>
      <c r="L153" s="3" t="str">
        <f t="shared" si="157"/>
        <v>YouTube &amp;</v>
      </c>
      <c r="M153" s="3" t="str">
        <f t="shared" si="3"/>
        <v>Youtube &amp;</v>
      </c>
      <c r="N153" s="3" t="str">
        <f>IFERROR(__xludf.DUMMYFUNCTION("SPLIT(M153,""&amp;"")"),"Youtube ")</f>
        <v>Youtube </v>
      </c>
      <c r="O153" s="3" t="str">
        <f t="shared" si="4"/>
        <v>Youtube</v>
      </c>
      <c r="P153" s="3" t="str">
        <f t="shared" si="5"/>
        <v>Visitrajasthan</v>
      </c>
      <c r="Q153" s="3" t="str">
        <f t="shared" si="6"/>
        <v>Visitrajasthan</v>
      </c>
      <c r="R153" s="3">
        <f t="shared" si="7"/>
        <v>4564</v>
      </c>
    </row>
    <row r="154">
      <c r="A154" s="7" t="s">
        <v>129</v>
      </c>
      <c r="B154" s="8" t="s">
        <v>20</v>
      </c>
      <c r="C154" s="8">
        <v>77200.0</v>
      </c>
      <c r="E154" s="3" t="str">
        <f>IFERROR(__xludf.DUMMYFUNCTION("SPLIT(A154,""|"")")," VfS/Instagram/20221225/visitudaipur/4565 ")</f>
        <v> VfS/Instagram/20221225/visitudaipur/4565 </v>
      </c>
      <c r="F154" s="3" t="str">
        <f>IFERROR(__xludf.DUMMYFUNCTION("SPLIT(E154,""/"")")," VfS")</f>
        <v> VfS</v>
      </c>
      <c r="G154" s="3" t="str">
        <f>IFERROR(__xludf.DUMMYFUNCTION("""COMPUTED_VALUE"""),"Instagram")</f>
        <v>Instagram</v>
      </c>
      <c r="H154" s="3">
        <f>IFERROR(__xludf.DUMMYFUNCTION("""COMPUTED_VALUE"""),2.0221225E7)</f>
        <v>20221225</v>
      </c>
      <c r="I154" s="3" t="str">
        <f>IFERROR(__xludf.DUMMYFUNCTION("""COMPUTED_VALUE"""),"visitudaipur")</f>
        <v>visitudaipur</v>
      </c>
      <c r="J154" s="3">
        <f>IFERROR(__xludf.DUMMYFUNCTION("""COMPUTED_VALUE"""),4565.0)</f>
        <v>4565</v>
      </c>
      <c r="K154" s="3" t="str">
        <f t="shared" ref="K154:L154" si="158">TRIM(F154)</f>
        <v>VfS</v>
      </c>
      <c r="L154" s="3" t="str">
        <f t="shared" si="158"/>
        <v>Instagram</v>
      </c>
      <c r="M154" s="3" t="str">
        <f t="shared" si="3"/>
        <v>Instagram</v>
      </c>
      <c r="N154" s="3" t="str">
        <f>IFERROR(__xludf.DUMMYFUNCTION("SPLIT(M154,""&amp;"")"),"Instagram")</f>
        <v>Instagram</v>
      </c>
      <c r="O154" s="3" t="str">
        <f t="shared" si="4"/>
        <v>Instagram</v>
      </c>
      <c r="P154" s="3" t="str">
        <f t="shared" si="5"/>
        <v>visitudaipur</v>
      </c>
      <c r="Q154" s="3" t="str">
        <f t="shared" si="6"/>
        <v>Visitudaipur</v>
      </c>
      <c r="R154" s="3">
        <f t="shared" si="7"/>
        <v>4565</v>
      </c>
    </row>
    <row r="155">
      <c r="A155" s="7" t="s">
        <v>130</v>
      </c>
      <c r="B155" s="8" t="s">
        <v>20</v>
      </c>
      <c r="C155" s="8">
        <v>14400.0</v>
      </c>
      <c r="E155" s="3" t="str">
        <f>IFERROR(__xludf.DUMMYFUNCTION("SPLIT(A155,""|"")")," VIN/OfflINe &amp;/20221228/Visitjodhpur/4566 ")</f>
        <v> VIN/OfflINe &amp;/20221228/Visitjodhpur/4566 </v>
      </c>
      <c r="F155" s="3" t="str">
        <f>IFERROR(__xludf.DUMMYFUNCTION("SPLIT(E155,""/"")")," VIN")</f>
        <v> VIN</v>
      </c>
      <c r="G155" s="3" t="str">
        <f>IFERROR(__xludf.DUMMYFUNCTION("""COMPUTED_VALUE"""),"OfflINe &amp;")</f>
        <v>OfflINe &amp;</v>
      </c>
      <c r="H155" s="3">
        <f>IFERROR(__xludf.DUMMYFUNCTION("""COMPUTED_VALUE"""),2.0221228E7)</f>
        <v>20221228</v>
      </c>
      <c r="I155" s="3" t="str">
        <f>IFERROR(__xludf.DUMMYFUNCTION("""COMPUTED_VALUE"""),"Visitjodhpur")</f>
        <v>Visitjodhpur</v>
      </c>
      <c r="J155" s="3">
        <f>IFERROR(__xludf.DUMMYFUNCTION("""COMPUTED_VALUE"""),4566.0)</f>
        <v>4566</v>
      </c>
      <c r="K155" s="3" t="str">
        <f t="shared" ref="K155:L155" si="159">TRIM(F155)</f>
        <v>VIN</v>
      </c>
      <c r="L155" s="3" t="str">
        <f t="shared" si="159"/>
        <v>OfflINe &amp;</v>
      </c>
      <c r="M155" s="3" t="str">
        <f t="shared" si="3"/>
        <v>Offline &amp;</v>
      </c>
      <c r="N155" s="3" t="str">
        <f>IFERROR(__xludf.DUMMYFUNCTION("SPLIT(M155,""&amp;"")"),"Offline ")</f>
        <v>Offline </v>
      </c>
      <c r="O155" s="3" t="str">
        <f t="shared" si="4"/>
        <v>Offline</v>
      </c>
      <c r="P155" s="3" t="str">
        <f t="shared" si="5"/>
        <v>Visitjodhpur</v>
      </c>
      <c r="Q155" s="3" t="str">
        <f t="shared" si="6"/>
        <v>Visitjodhpur</v>
      </c>
      <c r="R155" s="3">
        <f t="shared" si="7"/>
        <v>4566</v>
      </c>
    </row>
    <row r="156">
      <c r="A156" s="7" t="s">
        <v>131</v>
      </c>
      <c r="B156" s="8" t="s">
        <v>6</v>
      </c>
      <c r="C156" s="8">
        <v>87300.0</v>
      </c>
      <c r="E156" s="3" t="str">
        <f>IFERROR(__xludf.DUMMYFUNCTION("SPLIT(A156,""|"")")," CHQ/Facebook/20221001/Visitjaipur/5676 ")</f>
        <v> CHQ/Facebook/20221001/Visitjaipur/5676 </v>
      </c>
      <c r="F156" s="3" t="str">
        <f>IFERROR(__xludf.DUMMYFUNCTION("SPLIT(E156,""/"")")," CHQ")</f>
        <v> CHQ</v>
      </c>
      <c r="G156" s="3" t="str">
        <f>IFERROR(__xludf.DUMMYFUNCTION("""COMPUTED_VALUE"""),"Facebook")</f>
        <v>Facebook</v>
      </c>
      <c r="H156" s="3">
        <f>IFERROR(__xludf.DUMMYFUNCTION("""COMPUTED_VALUE"""),2.0221001E7)</f>
        <v>20221001</v>
      </c>
      <c r="I156" s="3" t="str">
        <f>IFERROR(__xludf.DUMMYFUNCTION("""COMPUTED_VALUE"""),"Visitjaipur")</f>
        <v>Visitjaipur</v>
      </c>
      <c r="J156" s="3">
        <f>IFERROR(__xludf.DUMMYFUNCTION("""COMPUTED_VALUE"""),5676.0)</f>
        <v>5676</v>
      </c>
      <c r="K156" s="3" t="str">
        <f t="shared" ref="K156:L156" si="160">TRIM(F156)</f>
        <v>CHQ</v>
      </c>
      <c r="L156" s="3" t="str">
        <f t="shared" si="160"/>
        <v>Facebook</v>
      </c>
      <c r="M156" s="3" t="str">
        <f t="shared" si="3"/>
        <v>Facebook</v>
      </c>
      <c r="N156" s="3" t="str">
        <f>IFERROR(__xludf.DUMMYFUNCTION("SPLIT(M156,""&amp;"")"),"Facebook")</f>
        <v>Facebook</v>
      </c>
      <c r="O156" s="3" t="str">
        <f t="shared" si="4"/>
        <v>Facebook</v>
      </c>
      <c r="P156" s="3" t="str">
        <f t="shared" si="5"/>
        <v>Visitjaipur</v>
      </c>
      <c r="Q156" s="3" t="str">
        <f t="shared" si="6"/>
        <v>Visitjaipur</v>
      </c>
      <c r="R156" s="3">
        <f t="shared" si="7"/>
        <v>5676</v>
      </c>
    </row>
    <row r="157">
      <c r="A157" s="7" t="s">
        <v>132</v>
      </c>
      <c r="B157" s="8" t="s">
        <v>6</v>
      </c>
      <c r="C157" s="8">
        <v>21700.0</v>
      </c>
      <c r="E157" s="3" t="str">
        <f>IFERROR(__xludf.DUMMYFUNCTION("SPLIT(A157,""|"")")," VfS/YouTube/20221004/Visitrajasthan/4564 ")</f>
        <v> VfS/YouTube/20221004/Visitrajasthan/4564 </v>
      </c>
      <c r="F157" s="3" t="str">
        <f>IFERROR(__xludf.DUMMYFUNCTION("SPLIT(E157,""/"")")," VfS")</f>
        <v> VfS</v>
      </c>
      <c r="G157" s="3" t="str">
        <f>IFERROR(__xludf.DUMMYFUNCTION("""COMPUTED_VALUE"""),"YouTube")</f>
        <v>YouTube</v>
      </c>
      <c r="H157" s="3">
        <f>IFERROR(__xludf.DUMMYFUNCTION("""COMPUTED_VALUE"""),2.0221004E7)</f>
        <v>20221004</v>
      </c>
      <c r="I157" s="3" t="str">
        <f>IFERROR(__xludf.DUMMYFUNCTION("""COMPUTED_VALUE"""),"Visitrajasthan")</f>
        <v>Visitrajasthan</v>
      </c>
      <c r="J157" s="3">
        <f>IFERROR(__xludf.DUMMYFUNCTION("""COMPUTED_VALUE"""),4564.0)</f>
        <v>4564</v>
      </c>
      <c r="K157" s="3" t="str">
        <f t="shared" ref="K157:L157" si="161">TRIM(F157)</f>
        <v>VfS</v>
      </c>
      <c r="L157" s="3" t="str">
        <f t="shared" si="161"/>
        <v>YouTube</v>
      </c>
      <c r="M157" s="3" t="str">
        <f t="shared" si="3"/>
        <v>Youtube</v>
      </c>
      <c r="N157" s="3" t="str">
        <f>IFERROR(__xludf.DUMMYFUNCTION("SPLIT(M157,""&amp;"")"),"Youtube")</f>
        <v>Youtube</v>
      </c>
      <c r="O157" s="3" t="str">
        <f t="shared" si="4"/>
        <v>Youtube</v>
      </c>
      <c r="P157" s="3" t="str">
        <f t="shared" si="5"/>
        <v>Visitrajasthan</v>
      </c>
      <c r="Q157" s="3" t="str">
        <f t="shared" si="6"/>
        <v>Visitrajasthan</v>
      </c>
      <c r="R157" s="3">
        <f t="shared" si="7"/>
        <v>4564</v>
      </c>
    </row>
    <row r="158">
      <c r="A158" s="7" t="s">
        <v>133</v>
      </c>
      <c r="B158" s="8" t="s">
        <v>6</v>
      </c>
      <c r="C158" s="8">
        <v>62000.0</v>
      </c>
      <c r="E158" s="3" t="str">
        <f>IFERROR(__xludf.DUMMYFUNCTION("SPLIT(A158,""|"")")," NEFT/Instagram/20221007/visitudaipur/4565 ")</f>
        <v> NEFT/Instagram/20221007/visitudaipur/4565 </v>
      </c>
      <c r="F158" s="3" t="str">
        <f>IFERROR(__xludf.DUMMYFUNCTION("SPLIT(E158,""/"")")," NEFT")</f>
        <v> NEFT</v>
      </c>
      <c r="G158" s="3" t="str">
        <f>IFERROR(__xludf.DUMMYFUNCTION("""COMPUTED_VALUE"""),"Instagram")</f>
        <v>Instagram</v>
      </c>
      <c r="H158" s="3">
        <f>IFERROR(__xludf.DUMMYFUNCTION("""COMPUTED_VALUE"""),2.0221007E7)</f>
        <v>20221007</v>
      </c>
      <c r="I158" s="3" t="str">
        <f>IFERROR(__xludf.DUMMYFUNCTION("""COMPUTED_VALUE"""),"visitudaipur")</f>
        <v>visitudaipur</v>
      </c>
      <c r="J158" s="3">
        <f>IFERROR(__xludf.DUMMYFUNCTION("""COMPUTED_VALUE"""),4565.0)</f>
        <v>4565</v>
      </c>
      <c r="K158" s="3" t="str">
        <f t="shared" ref="K158:L158" si="162">TRIM(F158)</f>
        <v>NEFT</v>
      </c>
      <c r="L158" s="3" t="str">
        <f t="shared" si="162"/>
        <v>Instagram</v>
      </c>
      <c r="M158" s="3" t="str">
        <f t="shared" si="3"/>
        <v>Instagram</v>
      </c>
      <c r="N158" s="3" t="str">
        <f>IFERROR(__xludf.DUMMYFUNCTION("SPLIT(M158,""&amp;"")"),"Instagram")</f>
        <v>Instagram</v>
      </c>
      <c r="O158" s="3" t="str">
        <f t="shared" si="4"/>
        <v>Instagram</v>
      </c>
      <c r="P158" s="3" t="str">
        <f t="shared" si="5"/>
        <v>visitudaipur</v>
      </c>
      <c r="Q158" s="3" t="str">
        <f t="shared" si="6"/>
        <v>Visitudaipur</v>
      </c>
      <c r="R158" s="3">
        <f t="shared" si="7"/>
        <v>4565</v>
      </c>
    </row>
    <row r="159">
      <c r="A159" s="7" t="s">
        <v>134</v>
      </c>
      <c r="B159" s="8" t="s">
        <v>6</v>
      </c>
      <c r="C159" s="8">
        <v>89800.0</v>
      </c>
      <c r="E159" s="3" t="str">
        <f>IFERROR(__xludf.DUMMYFUNCTION("SPLIT(A159,""|"")")," CHQ/Offline &amp;/20221010/Visitjodhpur/4566 ")</f>
        <v> CHQ/Offline &amp;/20221010/Visitjodhpur/4566 </v>
      </c>
      <c r="F159" s="3" t="str">
        <f>IFERROR(__xludf.DUMMYFUNCTION("SPLIT(E159,""/"")")," CHQ")</f>
        <v> CHQ</v>
      </c>
      <c r="G159" s="3" t="str">
        <f>IFERROR(__xludf.DUMMYFUNCTION("""COMPUTED_VALUE"""),"Offline &amp;")</f>
        <v>Offline &amp;</v>
      </c>
      <c r="H159" s="3">
        <f>IFERROR(__xludf.DUMMYFUNCTION("""COMPUTED_VALUE"""),2.022101E7)</f>
        <v>20221010</v>
      </c>
      <c r="I159" s="3" t="str">
        <f>IFERROR(__xludf.DUMMYFUNCTION("""COMPUTED_VALUE"""),"Visitjodhpur")</f>
        <v>Visitjodhpur</v>
      </c>
      <c r="J159" s="3">
        <f>IFERROR(__xludf.DUMMYFUNCTION("""COMPUTED_VALUE"""),4566.0)</f>
        <v>4566</v>
      </c>
      <c r="K159" s="3" t="str">
        <f t="shared" ref="K159:L159" si="163">TRIM(F159)</f>
        <v>CHQ</v>
      </c>
      <c r="L159" s="3" t="str">
        <f t="shared" si="163"/>
        <v>Offline &amp;</v>
      </c>
      <c r="M159" s="3" t="str">
        <f t="shared" si="3"/>
        <v>Offline &amp;</v>
      </c>
      <c r="N159" s="3" t="str">
        <f>IFERROR(__xludf.DUMMYFUNCTION("SPLIT(M159,""&amp;"")"),"Offline ")</f>
        <v>Offline </v>
      </c>
      <c r="O159" s="3" t="str">
        <f t="shared" si="4"/>
        <v>Offline</v>
      </c>
      <c r="P159" s="3" t="str">
        <f t="shared" si="5"/>
        <v>Visitjodhpur</v>
      </c>
      <c r="Q159" s="3" t="str">
        <f t="shared" si="6"/>
        <v>Visitjodhpur</v>
      </c>
      <c r="R159" s="3">
        <f t="shared" si="7"/>
        <v>4566</v>
      </c>
    </row>
    <row r="160">
      <c r="A160" s="7" t="s">
        <v>151</v>
      </c>
      <c r="B160" s="8" t="s">
        <v>6</v>
      </c>
      <c r="C160" s="8">
        <v>31700.0</v>
      </c>
      <c r="E160" s="3" t="str">
        <f>IFERROR(__xludf.DUMMYFUNCTION("SPLIT(A160,""|"")")," VfS/Google Ads/20221013/visitJaisalmer/3455 ")</f>
        <v> VfS/Google Ads/20221013/visitJaisalmer/3455 </v>
      </c>
      <c r="F160" s="3" t="str">
        <f>IFERROR(__xludf.DUMMYFUNCTION("SPLIT(E160,""/"")")," VfS")</f>
        <v> VfS</v>
      </c>
      <c r="G160" s="3" t="str">
        <f>IFERROR(__xludf.DUMMYFUNCTION("""COMPUTED_VALUE"""),"Google Ads")</f>
        <v>Google Ads</v>
      </c>
      <c r="H160" s="3">
        <f>IFERROR(__xludf.DUMMYFUNCTION("""COMPUTED_VALUE"""),2.0221013E7)</f>
        <v>20221013</v>
      </c>
      <c r="I160" s="3" t="str">
        <f>IFERROR(__xludf.DUMMYFUNCTION("""COMPUTED_VALUE"""),"visitJaisalmer")</f>
        <v>visitJaisalmer</v>
      </c>
      <c r="J160" s="3">
        <f>IFERROR(__xludf.DUMMYFUNCTION("""COMPUTED_VALUE"""),3455.0)</f>
        <v>3455</v>
      </c>
      <c r="K160" s="3" t="str">
        <f t="shared" ref="K160:L160" si="164">TRIM(F160)</f>
        <v>VfS</v>
      </c>
      <c r="L160" s="3" t="str">
        <f t="shared" si="164"/>
        <v>Google Ads</v>
      </c>
      <c r="M160" s="3" t="str">
        <f t="shared" si="3"/>
        <v>Google Ads</v>
      </c>
      <c r="N160" s="3" t="str">
        <f>IFERROR(__xludf.DUMMYFUNCTION("SPLIT(M160,""&amp;"")"),"Google Ads")</f>
        <v>Google Ads</v>
      </c>
      <c r="O160" s="3" t="str">
        <f t="shared" si="4"/>
        <v>Google Ads</v>
      </c>
      <c r="P160" s="3" t="str">
        <f t="shared" si="5"/>
        <v>visitJaisalmer</v>
      </c>
      <c r="Q160" s="3" t="str">
        <f t="shared" si="6"/>
        <v>Visitjaisalmer</v>
      </c>
      <c r="R160" s="3">
        <f t="shared" si="7"/>
        <v>3455</v>
      </c>
    </row>
    <row r="161">
      <c r="A161" s="7" t="s">
        <v>136</v>
      </c>
      <c r="B161" s="8" t="s">
        <v>6</v>
      </c>
      <c r="C161" s="8">
        <v>33800.0</v>
      </c>
      <c r="E161" s="3" t="str">
        <f>IFERROR(__xludf.DUMMYFUNCTION("SPLIT(A161,""|"")")," VIN/TwiTter/20221016/visitbikaner/5666 ")</f>
        <v> VIN/TwiTter/20221016/visitbikaner/5666 </v>
      </c>
      <c r="F161" s="3" t="str">
        <f>IFERROR(__xludf.DUMMYFUNCTION("SPLIT(E161,""/"")")," VIN")</f>
        <v> VIN</v>
      </c>
      <c r="G161" s="3" t="str">
        <f>IFERROR(__xludf.DUMMYFUNCTION("""COMPUTED_VALUE"""),"TwiTter")</f>
        <v>TwiTter</v>
      </c>
      <c r="H161" s="3">
        <f>IFERROR(__xludf.DUMMYFUNCTION("""COMPUTED_VALUE"""),2.0221016E7)</f>
        <v>20221016</v>
      </c>
      <c r="I161" s="3" t="str">
        <f>IFERROR(__xludf.DUMMYFUNCTION("""COMPUTED_VALUE"""),"visitbikaner")</f>
        <v>visitbikaner</v>
      </c>
      <c r="J161" s="3">
        <f>IFERROR(__xludf.DUMMYFUNCTION("""COMPUTED_VALUE"""),5666.0)</f>
        <v>5666</v>
      </c>
      <c r="K161" s="3" t="str">
        <f t="shared" ref="K161:L161" si="165">TRIM(F161)</f>
        <v>VIN</v>
      </c>
      <c r="L161" s="3" t="str">
        <f t="shared" si="165"/>
        <v>TwiTter</v>
      </c>
      <c r="M161" s="3" t="str">
        <f t="shared" si="3"/>
        <v>Twitter</v>
      </c>
      <c r="N161" s="3" t="str">
        <f>IFERROR(__xludf.DUMMYFUNCTION("SPLIT(M161,""&amp;"")"),"Twitter")</f>
        <v>Twitter</v>
      </c>
      <c r="O161" s="3" t="str">
        <f t="shared" si="4"/>
        <v>Twitter</v>
      </c>
      <c r="P161" s="3" t="str">
        <f t="shared" si="5"/>
        <v>visitbikaner</v>
      </c>
      <c r="Q161" s="3" t="str">
        <f t="shared" si="6"/>
        <v>Visitbikaner</v>
      </c>
      <c r="R161" s="3">
        <f t="shared" si="7"/>
        <v>5666</v>
      </c>
    </row>
    <row r="162">
      <c r="A162" s="7" t="s">
        <v>137</v>
      </c>
      <c r="B162" s="8" t="s">
        <v>6</v>
      </c>
      <c r="C162" s="8">
        <v>10300.0</v>
      </c>
      <c r="E162" s="3" t="str">
        <f>IFERROR(__xludf.DUMMYFUNCTION("SPLIT(A162,""|"")")," NEFT/Facebook/20221019/Visitjaipur/5676 ")</f>
        <v> NEFT/Facebook/20221019/Visitjaipur/5676 </v>
      </c>
      <c r="F162" s="3" t="str">
        <f>IFERROR(__xludf.DUMMYFUNCTION("SPLIT(E162,""/"")")," NEFT")</f>
        <v> NEFT</v>
      </c>
      <c r="G162" s="3" t="str">
        <f>IFERROR(__xludf.DUMMYFUNCTION("""COMPUTED_VALUE"""),"Facebook")</f>
        <v>Facebook</v>
      </c>
      <c r="H162" s="3">
        <f>IFERROR(__xludf.DUMMYFUNCTION("""COMPUTED_VALUE"""),2.0221019E7)</f>
        <v>20221019</v>
      </c>
      <c r="I162" s="3" t="str">
        <f>IFERROR(__xludf.DUMMYFUNCTION("""COMPUTED_VALUE"""),"Visitjaipur")</f>
        <v>Visitjaipur</v>
      </c>
      <c r="J162" s="3">
        <f>IFERROR(__xludf.DUMMYFUNCTION("""COMPUTED_VALUE"""),5676.0)</f>
        <v>5676</v>
      </c>
      <c r="K162" s="3" t="str">
        <f t="shared" ref="K162:L162" si="166">TRIM(F162)</f>
        <v>NEFT</v>
      </c>
      <c r="L162" s="3" t="str">
        <f t="shared" si="166"/>
        <v>Facebook</v>
      </c>
      <c r="M162" s="3" t="str">
        <f t="shared" si="3"/>
        <v>Facebook</v>
      </c>
      <c r="N162" s="3" t="str">
        <f>IFERROR(__xludf.DUMMYFUNCTION("SPLIT(M162,""&amp;"")"),"Facebook")</f>
        <v>Facebook</v>
      </c>
      <c r="O162" s="3" t="str">
        <f t="shared" si="4"/>
        <v>Facebook</v>
      </c>
      <c r="P162" s="3" t="str">
        <f t="shared" si="5"/>
        <v>Visitjaipur</v>
      </c>
      <c r="Q162" s="3" t="str">
        <f t="shared" si="6"/>
        <v>Visitjaipur</v>
      </c>
      <c r="R162" s="3">
        <f t="shared" si="7"/>
        <v>5676</v>
      </c>
    </row>
    <row r="163">
      <c r="A163" s="7" t="s">
        <v>138</v>
      </c>
      <c r="B163" s="8" t="s">
        <v>6</v>
      </c>
      <c r="C163" s="8">
        <v>28300.0</v>
      </c>
      <c r="E163" s="3" t="str">
        <f>IFERROR(__xludf.DUMMYFUNCTION("SPLIT(A163,""|"")")," CHQ/YouTube &amp;/20221022/Visitrajasthan/4564 ")</f>
        <v> CHQ/YouTube &amp;/20221022/Visitrajasthan/4564 </v>
      </c>
      <c r="F163" s="3" t="str">
        <f>IFERROR(__xludf.DUMMYFUNCTION("SPLIT(E163,""/"")")," CHQ")</f>
        <v> CHQ</v>
      </c>
      <c r="G163" s="3" t="str">
        <f>IFERROR(__xludf.DUMMYFUNCTION("""COMPUTED_VALUE"""),"YouTube &amp;")</f>
        <v>YouTube &amp;</v>
      </c>
      <c r="H163" s="3">
        <f>IFERROR(__xludf.DUMMYFUNCTION("""COMPUTED_VALUE"""),2.0221022E7)</f>
        <v>20221022</v>
      </c>
      <c r="I163" s="3" t="str">
        <f>IFERROR(__xludf.DUMMYFUNCTION("""COMPUTED_VALUE"""),"Visitrajasthan")</f>
        <v>Visitrajasthan</v>
      </c>
      <c r="J163" s="3">
        <f>IFERROR(__xludf.DUMMYFUNCTION("""COMPUTED_VALUE"""),4564.0)</f>
        <v>4564</v>
      </c>
      <c r="K163" s="3" t="str">
        <f t="shared" ref="K163:L163" si="167">TRIM(F163)</f>
        <v>CHQ</v>
      </c>
      <c r="L163" s="3" t="str">
        <f t="shared" si="167"/>
        <v>YouTube &amp;</v>
      </c>
      <c r="M163" s="3" t="str">
        <f t="shared" si="3"/>
        <v>Youtube &amp;</v>
      </c>
      <c r="N163" s="3" t="str">
        <f>IFERROR(__xludf.DUMMYFUNCTION("SPLIT(M163,""&amp;"")"),"Youtube ")</f>
        <v>Youtube </v>
      </c>
      <c r="O163" s="3" t="str">
        <f t="shared" si="4"/>
        <v>Youtube</v>
      </c>
      <c r="P163" s="3" t="str">
        <f t="shared" si="5"/>
        <v>Visitrajasthan</v>
      </c>
      <c r="Q163" s="3" t="str">
        <f t="shared" si="6"/>
        <v>Visitrajasthan</v>
      </c>
      <c r="R163" s="3">
        <f t="shared" si="7"/>
        <v>4564</v>
      </c>
    </row>
    <row r="164">
      <c r="A164" s="7" t="s">
        <v>139</v>
      </c>
      <c r="B164" s="8" t="s">
        <v>6</v>
      </c>
      <c r="C164" s="8">
        <v>66000.0</v>
      </c>
      <c r="E164" s="3" t="str">
        <f>IFERROR(__xludf.DUMMYFUNCTION("SPLIT(A164,""|"")")," VfS/Instagram/20221025/visitudaipur/4565 ")</f>
        <v> VfS/Instagram/20221025/visitudaipur/4565 </v>
      </c>
      <c r="F164" s="3" t="str">
        <f>IFERROR(__xludf.DUMMYFUNCTION("SPLIT(E164,""/"")")," VfS")</f>
        <v> VfS</v>
      </c>
      <c r="G164" s="3" t="str">
        <f>IFERROR(__xludf.DUMMYFUNCTION("""COMPUTED_VALUE"""),"Instagram")</f>
        <v>Instagram</v>
      </c>
      <c r="H164" s="3">
        <f>IFERROR(__xludf.DUMMYFUNCTION("""COMPUTED_VALUE"""),2.0221025E7)</f>
        <v>20221025</v>
      </c>
      <c r="I164" s="3" t="str">
        <f>IFERROR(__xludf.DUMMYFUNCTION("""COMPUTED_VALUE"""),"visitudaipur")</f>
        <v>visitudaipur</v>
      </c>
      <c r="J164" s="3">
        <f>IFERROR(__xludf.DUMMYFUNCTION("""COMPUTED_VALUE"""),4565.0)</f>
        <v>4565</v>
      </c>
      <c r="K164" s="3" t="str">
        <f t="shared" ref="K164:L164" si="168">TRIM(F164)</f>
        <v>VfS</v>
      </c>
      <c r="L164" s="3" t="str">
        <f t="shared" si="168"/>
        <v>Instagram</v>
      </c>
      <c r="M164" s="3" t="str">
        <f t="shared" si="3"/>
        <v>Instagram</v>
      </c>
      <c r="N164" s="3" t="str">
        <f>IFERROR(__xludf.DUMMYFUNCTION("SPLIT(M164,""&amp;"")"),"Instagram")</f>
        <v>Instagram</v>
      </c>
      <c r="O164" s="3" t="str">
        <f t="shared" si="4"/>
        <v>Instagram</v>
      </c>
      <c r="P164" s="3" t="str">
        <f t="shared" si="5"/>
        <v>visitudaipur</v>
      </c>
      <c r="Q164" s="3" t="str">
        <f t="shared" si="6"/>
        <v>Visitudaipur</v>
      </c>
      <c r="R164" s="3">
        <f t="shared" si="7"/>
        <v>4565</v>
      </c>
    </row>
    <row r="165">
      <c r="A165" s="7" t="s">
        <v>140</v>
      </c>
      <c r="B165" s="8" t="s">
        <v>6</v>
      </c>
      <c r="C165" s="8">
        <v>83800.0</v>
      </c>
      <c r="E165" s="3" t="str">
        <f>IFERROR(__xludf.DUMMYFUNCTION("SPLIT(A165,""|"")")," VIN/OfflINe &amp;/20221028/Visitjodhpur/4566 ")</f>
        <v> VIN/OfflINe &amp;/20221028/Visitjodhpur/4566 </v>
      </c>
      <c r="F165" s="3" t="str">
        <f>IFERROR(__xludf.DUMMYFUNCTION("SPLIT(E165,""/"")")," VIN")</f>
        <v> VIN</v>
      </c>
      <c r="G165" s="3" t="str">
        <f>IFERROR(__xludf.DUMMYFUNCTION("""COMPUTED_VALUE"""),"OfflINe &amp;")</f>
        <v>OfflINe &amp;</v>
      </c>
      <c r="H165" s="3">
        <f>IFERROR(__xludf.DUMMYFUNCTION("""COMPUTED_VALUE"""),2.0221028E7)</f>
        <v>20221028</v>
      </c>
      <c r="I165" s="3" t="str">
        <f>IFERROR(__xludf.DUMMYFUNCTION("""COMPUTED_VALUE"""),"Visitjodhpur")</f>
        <v>Visitjodhpur</v>
      </c>
      <c r="J165" s="3">
        <f>IFERROR(__xludf.DUMMYFUNCTION("""COMPUTED_VALUE"""),4566.0)</f>
        <v>4566</v>
      </c>
      <c r="K165" s="3" t="str">
        <f t="shared" ref="K165:L165" si="169">TRIM(F165)</f>
        <v>VIN</v>
      </c>
      <c r="L165" s="3" t="str">
        <f t="shared" si="169"/>
        <v>OfflINe &amp;</v>
      </c>
      <c r="M165" s="3" t="str">
        <f t="shared" si="3"/>
        <v>Offline &amp;</v>
      </c>
      <c r="N165" s="3" t="str">
        <f>IFERROR(__xludf.DUMMYFUNCTION("SPLIT(M165,""&amp;"")"),"Offline ")</f>
        <v>Offline </v>
      </c>
      <c r="O165" s="3" t="str">
        <f t="shared" si="4"/>
        <v>Offline</v>
      </c>
      <c r="P165" s="3" t="str">
        <f t="shared" si="5"/>
        <v>Visitjodhpur</v>
      </c>
      <c r="Q165" s="3" t="str">
        <f t="shared" si="6"/>
        <v>Visitjodhpur</v>
      </c>
      <c r="R165" s="3">
        <f t="shared" si="7"/>
        <v>4566</v>
      </c>
    </row>
    <row r="166">
      <c r="A166" s="7" t="s">
        <v>141</v>
      </c>
      <c r="B166" s="8" t="s">
        <v>19</v>
      </c>
      <c r="C166" s="8">
        <v>72500.0</v>
      </c>
      <c r="E166" s="3" t="str">
        <f>IFERROR(__xludf.DUMMYFUNCTION("SPLIT(A166,""|"")")," CHQ/Facebook/20221101/Visitjaipur/5676 ")</f>
        <v> CHQ/Facebook/20221101/Visitjaipur/5676 </v>
      </c>
      <c r="F166" s="3" t="str">
        <f>IFERROR(__xludf.DUMMYFUNCTION("SPLIT(E166,""/"")")," CHQ")</f>
        <v> CHQ</v>
      </c>
      <c r="G166" s="3" t="str">
        <f>IFERROR(__xludf.DUMMYFUNCTION("""COMPUTED_VALUE"""),"Facebook")</f>
        <v>Facebook</v>
      </c>
      <c r="H166" s="3">
        <f>IFERROR(__xludf.DUMMYFUNCTION("""COMPUTED_VALUE"""),2.0221101E7)</f>
        <v>20221101</v>
      </c>
      <c r="I166" s="3" t="str">
        <f>IFERROR(__xludf.DUMMYFUNCTION("""COMPUTED_VALUE"""),"Visitjaipur")</f>
        <v>Visitjaipur</v>
      </c>
      <c r="J166" s="3">
        <f>IFERROR(__xludf.DUMMYFUNCTION("""COMPUTED_VALUE"""),5676.0)</f>
        <v>5676</v>
      </c>
      <c r="K166" s="3" t="str">
        <f t="shared" ref="K166:L166" si="170">TRIM(F166)</f>
        <v>CHQ</v>
      </c>
      <c r="L166" s="3" t="str">
        <f t="shared" si="170"/>
        <v>Facebook</v>
      </c>
      <c r="M166" s="3" t="str">
        <f t="shared" si="3"/>
        <v>Facebook</v>
      </c>
      <c r="N166" s="3" t="str">
        <f>IFERROR(__xludf.DUMMYFUNCTION("SPLIT(M166,""&amp;"")"),"Facebook")</f>
        <v>Facebook</v>
      </c>
      <c r="O166" s="3" t="str">
        <f t="shared" si="4"/>
        <v>Facebook</v>
      </c>
      <c r="P166" s="3" t="str">
        <f t="shared" si="5"/>
        <v>Visitjaipur</v>
      </c>
      <c r="Q166" s="3" t="str">
        <f t="shared" si="6"/>
        <v>Visitjaipur</v>
      </c>
      <c r="R166" s="3">
        <f t="shared" si="7"/>
        <v>5676</v>
      </c>
    </row>
    <row r="167">
      <c r="A167" s="7" t="s">
        <v>142</v>
      </c>
      <c r="B167" s="8" t="s">
        <v>19</v>
      </c>
      <c r="C167" s="8">
        <v>71800.0</v>
      </c>
      <c r="E167" s="3" t="str">
        <f>IFERROR(__xludf.DUMMYFUNCTION("SPLIT(A167,""|"")")," VfS/YouTube/20221104/Visitrajasthan/4564 ")</f>
        <v> VfS/YouTube/20221104/Visitrajasthan/4564 </v>
      </c>
      <c r="F167" s="3" t="str">
        <f>IFERROR(__xludf.DUMMYFUNCTION("SPLIT(E167,""/"")")," VfS")</f>
        <v> VfS</v>
      </c>
      <c r="G167" s="3" t="str">
        <f>IFERROR(__xludf.DUMMYFUNCTION("""COMPUTED_VALUE"""),"YouTube")</f>
        <v>YouTube</v>
      </c>
      <c r="H167" s="3">
        <f>IFERROR(__xludf.DUMMYFUNCTION("""COMPUTED_VALUE"""),2.0221104E7)</f>
        <v>20221104</v>
      </c>
      <c r="I167" s="3" t="str">
        <f>IFERROR(__xludf.DUMMYFUNCTION("""COMPUTED_VALUE"""),"Visitrajasthan")</f>
        <v>Visitrajasthan</v>
      </c>
      <c r="J167" s="3">
        <f>IFERROR(__xludf.DUMMYFUNCTION("""COMPUTED_VALUE"""),4564.0)</f>
        <v>4564</v>
      </c>
      <c r="K167" s="3" t="str">
        <f t="shared" ref="K167:L167" si="171">TRIM(F167)</f>
        <v>VfS</v>
      </c>
      <c r="L167" s="3" t="str">
        <f t="shared" si="171"/>
        <v>YouTube</v>
      </c>
      <c r="M167" s="3" t="str">
        <f t="shared" si="3"/>
        <v>Youtube</v>
      </c>
      <c r="N167" s="3" t="str">
        <f>IFERROR(__xludf.DUMMYFUNCTION("SPLIT(M167,""&amp;"")"),"Youtube")</f>
        <v>Youtube</v>
      </c>
      <c r="O167" s="3" t="str">
        <f t="shared" si="4"/>
        <v>Youtube</v>
      </c>
      <c r="P167" s="3" t="str">
        <f t="shared" si="5"/>
        <v>Visitrajasthan</v>
      </c>
      <c r="Q167" s="3" t="str">
        <f t="shared" si="6"/>
        <v>Visitrajasthan</v>
      </c>
      <c r="R167" s="3">
        <f t="shared" si="7"/>
        <v>4564</v>
      </c>
    </row>
    <row r="168">
      <c r="A168" s="7" t="s">
        <v>143</v>
      </c>
      <c r="B168" s="8" t="s">
        <v>19</v>
      </c>
      <c r="C168" s="8">
        <v>98500.0</v>
      </c>
      <c r="E168" s="3" t="str">
        <f>IFERROR(__xludf.DUMMYFUNCTION("SPLIT(A168,""|"")")," NEFT/Instagram/20221107/visitudaipur/4565 ")</f>
        <v> NEFT/Instagram/20221107/visitudaipur/4565 </v>
      </c>
      <c r="F168" s="3" t="str">
        <f>IFERROR(__xludf.DUMMYFUNCTION("SPLIT(E168,""/"")")," NEFT")</f>
        <v> NEFT</v>
      </c>
      <c r="G168" s="3" t="str">
        <f>IFERROR(__xludf.DUMMYFUNCTION("""COMPUTED_VALUE"""),"Instagram")</f>
        <v>Instagram</v>
      </c>
      <c r="H168" s="3">
        <f>IFERROR(__xludf.DUMMYFUNCTION("""COMPUTED_VALUE"""),2.0221107E7)</f>
        <v>20221107</v>
      </c>
      <c r="I168" s="3" t="str">
        <f>IFERROR(__xludf.DUMMYFUNCTION("""COMPUTED_VALUE"""),"visitudaipur")</f>
        <v>visitudaipur</v>
      </c>
      <c r="J168" s="3">
        <f>IFERROR(__xludf.DUMMYFUNCTION("""COMPUTED_VALUE"""),4565.0)</f>
        <v>4565</v>
      </c>
      <c r="K168" s="3" t="str">
        <f t="shared" ref="K168:L168" si="172">TRIM(F168)</f>
        <v>NEFT</v>
      </c>
      <c r="L168" s="3" t="str">
        <f t="shared" si="172"/>
        <v>Instagram</v>
      </c>
      <c r="M168" s="3" t="str">
        <f t="shared" si="3"/>
        <v>Instagram</v>
      </c>
      <c r="N168" s="3" t="str">
        <f>IFERROR(__xludf.DUMMYFUNCTION("SPLIT(M168,""&amp;"")"),"Instagram")</f>
        <v>Instagram</v>
      </c>
      <c r="O168" s="3" t="str">
        <f t="shared" si="4"/>
        <v>Instagram</v>
      </c>
      <c r="P168" s="3" t="str">
        <f t="shared" si="5"/>
        <v>visitudaipur</v>
      </c>
      <c r="Q168" s="3" t="str">
        <f t="shared" si="6"/>
        <v>Visitudaipur</v>
      </c>
      <c r="R168" s="3">
        <f t="shared" si="7"/>
        <v>4565</v>
      </c>
    </row>
    <row r="169">
      <c r="A169" s="7" t="s">
        <v>144</v>
      </c>
      <c r="B169" s="8" t="s">
        <v>19</v>
      </c>
      <c r="C169" s="8">
        <v>99200.0</v>
      </c>
      <c r="E169" s="3" t="str">
        <f>IFERROR(__xludf.DUMMYFUNCTION("SPLIT(A169,""|"")")," CHQ/Offline &amp;/20221110/Visitjodhpur/4566 ")</f>
        <v> CHQ/Offline &amp;/20221110/Visitjodhpur/4566 </v>
      </c>
      <c r="F169" s="3" t="str">
        <f>IFERROR(__xludf.DUMMYFUNCTION("SPLIT(E169,""/"")")," CHQ")</f>
        <v> CHQ</v>
      </c>
      <c r="G169" s="3" t="str">
        <f>IFERROR(__xludf.DUMMYFUNCTION("""COMPUTED_VALUE"""),"Offline &amp;")</f>
        <v>Offline &amp;</v>
      </c>
      <c r="H169" s="3">
        <f>IFERROR(__xludf.DUMMYFUNCTION("""COMPUTED_VALUE"""),2.022111E7)</f>
        <v>20221110</v>
      </c>
      <c r="I169" s="3" t="str">
        <f>IFERROR(__xludf.DUMMYFUNCTION("""COMPUTED_VALUE"""),"Visitjodhpur")</f>
        <v>Visitjodhpur</v>
      </c>
      <c r="J169" s="3">
        <f>IFERROR(__xludf.DUMMYFUNCTION("""COMPUTED_VALUE"""),4566.0)</f>
        <v>4566</v>
      </c>
      <c r="K169" s="3" t="str">
        <f t="shared" ref="K169:L169" si="173">TRIM(F169)</f>
        <v>CHQ</v>
      </c>
      <c r="L169" s="3" t="str">
        <f t="shared" si="173"/>
        <v>Offline &amp;</v>
      </c>
      <c r="M169" s="3" t="str">
        <f t="shared" si="3"/>
        <v>Offline &amp;</v>
      </c>
      <c r="N169" s="3" t="str">
        <f>IFERROR(__xludf.DUMMYFUNCTION("SPLIT(M169,""&amp;"")"),"Offline ")</f>
        <v>Offline </v>
      </c>
      <c r="O169" s="3" t="str">
        <f t="shared" si="4"/>
        <v>Offline</v>
      </c>
      <c r="P169" s="3" t="str">
        <f t="shared" si="5"/>
        <v>Visitjodhpur</v>
      </c>
      <c r="Q169" s="3" t="str">
        <f t="shared" si="6"/>
        <v>Visitjodhpur</v>
      </c>
      <c r="R169" s="3">
        <f t="shared" si="7"/>
        <v>4566</v>
      </c>
    </row>
    <row r="170">
      <c r="A170" s="7" t="s">
        <v>145</v>
      </c>
      <c r="B170" s="8" t="s">
        <v>19</v>
      </c>
      <c r="C170" s="8">
        <v>32300.0</v>
      </c>
      <c r="E170" s="3" t="str">
        <f>IFERROR(__xludf.DUMMYFUNCTION("SPLIT(A170,""|"")")," VfS/Google Ads/20221113/visitJaisalmer/3455 ")</f>
        <v> VfS/Google Ads/20221113/visitJaisalmer/3455 </v>
      </c>
      <c r="F170" s="3" t="str">
        <f>IFERROR(__xludf.DUMMYFUNCTION("SPLIT(E170,""/"")")," VfS")</f>
        <v> VfS</v>
      </c>
      <c r="G170" s="3" t="str">
        <f>IFERROR(__xludf.DUMMYFUNCTION("""COMPUTED_VALUE"""),"Google Ads")</f>
        <v>Google Ads</v>
      </c>
      <c r="H170" s="3">
        <f>IFERROR(__xludf.DUMMYFUNCTION("""COMPUTED_VALUE"""),2.0221113E7)</f>
        <v>20221113</v>
      </c>
      <c r="I170" s="3" t="str">
        <f>IFERROR(__xludf.DUMMYFUNCTION("""COMPUTED_VALUE"""),"visitJaisalmer")</f>
        <v>visitJaisalmer</v>
      </c>
      <c r="J170" s="3">
        <f>IFERROR(__xludf.DUMMYFUNCTION("""COMPUTED_VALUE"""),3455.0)</f>
        <v>3455</v>
      </c>
      <c r="K170" s="3" t="str">
        <f t="shared" ref="K170:L170" si="174">TRIM(F170)</f>
        <v>VfS</v>
      </c>
      <c r="L170" s="3" t="str">
        <f t="shared" si="174"/>
        <v>Google Ads</v>
      </c>
      <c r="M170" s="3" t="str">
        <f t="shared" si="3"/>
        <v>Google Ads</v>
      </c>
      <c r="N170" s="3" t="str">
        <f>IFERROR(__xludf.DUMMYFUNCTION("SPLIT(M170,""&amp;"")"),"Google Ads")</f>
        <v>Google Ads</v>
      </c>
      <c r="O170" s="3" t="str">
        <f t="shared" si="4"/>
        <v>Google Ads</v>
      </c>
      <c r="P170" s="3" t="str">
        <f t="shared" si="5"/>
        <v>visitJaisalmer</v>
      </c>
      <c r="Q170" s="3" t="str">
        <f t="shared" si="6"/>
        <v>Visitjaisalmer</v>
      </c>
      <c r="R170" s="3">
        <f t="shared" si="7"/>
        <v>3455</v>
      </c>
    </row>
    <row r="171">
      <c r="A171" s="7" t="s">
        <v>146</v>
      </c>
      <c r="B171" s="8" t="s">
        <v>19</v>
      </c>
      <c r="C171" s="8">
        <v>98400.0</v>
      </c>
      <c r="E171" s="3" t="str">
        <f>IFERROR(__xludf.DUMMYFUNCTION("SPLIT(A171,""|"")")," VIN/TwiTter/20221116/visitbikaner/5666 ")</f>
        <v> VIN/TwiTter/20221116/visitbikaner/5666 </v>
      </c>
      <c r="F171" s="3" t="str">
        <f>IFERROR(__xludf.DUMMYFUNCTION("SPLIT(E171,""/"")")," VIN")</f>
        <v> VIN</v>
      </c>
      <c r="G171" s="3" t="str">
        <f>IFERROR(__xludf.DUMMYFUNCTION("""COMPUTED_VALUE"""),"TwiTter")</f>
        <v>TwiTter</v>
      </c>
      <c r="H171" s="3">
        <f>IFERROR(__xludf.DUMMYFUNCTION("""COMPUTED_VALUE"""),2.0221116E7)</f>
        <v>20221116</v>
      </c>
      <c r="I171" s="3" t="str">
        <f>IFERROR(__xludf.DUMMYFUNCTION("""COMPUTED_VALUE"""),"visitbikaner")</f>
        <v>visitbikaner</v>
      </c>
      <c r="J171" s="3">
        <f>IFERROR(__xludf.DUMMYFUNCTION("""COMPUTED_VALUE"""),5666.0)</f>
        <v>5666</v>
      </c>
      <c r="K171" s="3" t="str">
        <f t="shared" ref="K171:L171" si="175">TRIM(F171)</f>
        <v>VIN</v>
      </c>
      <c r="L171" s="3" t="str">
        <f t="shared" si="175"/>
        <v>TwiTter</v>
      </c>
      <c r="M171" s="3" t="str">
        <f t="shared" si="3"/>
        <v>Twitter</v>
      </c>
      <c r="N171" s="3" t="str">
        <f>IFERROR(__xludf.DUMMYFUNCTION("SPLIT(M171,""&amp;"")"),"Twitter")</f>
        <v>Twitter</v>
      </c>
      <c r="O171" s="3" t="str">
        <f t="shared" si="4"/>
        <v>Twitter</v>
      </c>
      <c r="P171" s="3" t="str">
        <f t="shared" si="5"/>
        <v>visitbikaner</v>
      </c>
      <c r="Q171" s="3" t="str">
        <f t="shared" si="6"/>
        <v>Visitbikaner</v>
      </c>
      <c r="R171" s="3">
        <f t="shared" si="7"/>
        <v>5666</v>
      </c>
    </row>
    <row r="172">
      <c r="A172" s="7" t="s">
        <v>147</v>
      </c>
      <c r="B172" s="8" t="s">
        <v>19</v>
      </c>
      <c r="C172" s="8">
        <v>42700.0</v>
      </c>
      <c r="E172" s="3" t="str">
        <f>IFERROR(__xludf.DUMMYFUNCTION("SPLIT(A172,""|"")")," NEFT/Facebook/20221119/Visitjaipur/5676 ")</f>
        <v> NEFT/Facebook/20221119/Visitjaipur/5676 </v>
      </c>
      <c r="F172" s="3" t="str">
        <f>IFERROR(__xludf.DUMMYFUNCTION("SPLIT(E172,""/"")")," NEFT")</f>
        <v> NEFT</v>
      </c>
      <c r="G172" s="3" t="str">
        <f>IFERROR(__xludf.DUMMYFUNCTION("""COMPUTED_VALUE"""),"Facebook")</f>
        <v>Facebook</v>
      </c>
      <c r="H172" s="3">
        <f>IFERROR(__xludf.DUMMYFUNCTION("""COMPUTED_VALUE"""),2.0221119E7)</f>
        <v>20221119</v>
      </c>
      <c r="I172" s="3" t="str">
        <f>IFERROR(__xludf.DUMMYFUNCTION("""COMPUTED_VALUE"""),"Visitjaipur")</f>
        <v>Visitjaipur</v>
      </c>
      <c r="J172" s="3">
        <f>IFERROR(__xludf.DUMMYFUNCTION("""COMPUTED_VALUE"""),5676.0)</f>
        <v>5676</v>
      </c>
      <c r="K172" s="3" t="str">
        <f t="shared" ref="K172:L172" si="176">TRIM(F172)</f>
        <v>NEFT</v>
      </c>
      <c r="L172" s="3" t="str">
        <f t="shared" si="176"/>
        <v>Facebook</v>
      </c>
      <c r="M172" s="3" t="str">
        <f t="shared" si="3"/>
        <v>Facebook</v>
      </c>
      <c r="N172" s="3" t="str">
        <f>IFERROR(__xludf.DUMMYFUNCTION("SPLIT(M172,""&amp;"")"),"Facebook")</f>
        <v>Facebook</v>
      </c>
      <c r="O172" s="3" t="str">
        <f t="shared" si="4"/>
        <v>Facebook</v>
      </c>
      <c r="P172" s="3" t="str">
        <f t="shared" si="5"/>
        <v>Visitjaipur</v>
      </c>
      <c r="Q172" s="3" t="str">
        <f t="shared" si="6"/>
        <v>Visitjaipur</v>
      </c>
      <c r="R172" s="3">
        <f t="shared" si="7"/>
        <v>5676</v>
      </c>
    </row>
    <row r="173">
      <c r="A173" s="7" t="s">
        <v>148</v>
      </c>
      <c r="B173" s="8" t="s">
        <v>19</v>
      </c>
      <c r="C173" s="8">
        <v>18200.0</v>
      </c>
      <c r="E173" s="3" t="str">
        <f>IFERROR(__xludf.DUMMYFUNCTION("SPLIT(A173,""|"")")," CHQ/YouTube &amp;/20221122/Visitrajasthan/4564 ")</f>
        <v> CHQ/YouTube &amp;/20221122/Visitrajasthan/4564 </v>
      </c>
      <c r="F173" s="3" t="str">
        <f>IFERROR(__xludf.DUMMYFUNCTION("SPLIT(E173,""/"")")," CHQ")</f>
        <v> CHQ</v>
      </c>
      <c r="G173" s="3" t="str">
        <f>IFERROR(__xludf.DUMMYFUNCTION("""COMPUTED_VALUE"""),"YouTube &amp;")</f>
        <v>YouTube &amp;</v>
      </c>
      <c r="H173" s="3">
        <f>IFERROR(__xludf.DUMMYFUNCTION("""COMPUTED_VALUE"""),2.0221122E7)</f>
        <v>20221122</v>
      </c>
      <c r="I173" s="3" t="str">
        <f>IFERROR(__xludf.DUMMYFUNCTION("""COMPUTED_VALUE"""),"Visitrajasthan")</f>
        <v>Visitrajasthan</v>
      </c>
      <c r="J173" s="3">
        <f>IFERROR(__xludf.DUMMYFUNCTION("""COMPUTED_VALUE"""),4564.0)</f>
        <v>4564</v>
      </c>
      <c r="K173" s="3" t="str">
        <f t="shared" ref="K173:L173" si="177">TRIM(F173)</f>
        <v>CHQ</v>
      </c>
      <c r="L173" s="3" t="str">
        <f t="shared" si="177"/>
        <v>YouTube &amp;</v>
      </c>
      <c r="M173" s="3" t="str">
        <f t="shared" si="3"/>
        <v>Youtube &amp;</v>
      </c>
      <c r="N173" s="3" t="str">
        <f>IFERROR(__xludf.DUMMYFUNCTION("SPLIT(M173,""&amp;"")"),"Youtube ")</f>
        <v>Youtube </v>
      </c>
      <c r="O173" s="3" t="str">
        <f t="shared" si="4"/>
        <v>Youtube</v>
      </c>
      <c r="P173" s="3" t="str">
        <f t="shared" si="5"/>
        <v>Visitrajasthan</v>
      </c>
      <c r="Q173" s="3" t="str">
        <f t="shared" si="6"/>
        <v>Visitrajasthan</v>
      </c>
      <c r="R173" s="3">
        <f t="shared" si="7"/>
        <v>4564</v>
      </c>
    </row>
    <row r="174">
      <c r="A174" s="7" t="s">
        <v>149</v>
      </c>
      <c r="B174" s="8" t="s">
        <v>19</v>
      </c>
      <c r="C174" s="8">
        <v>97100.0</v>
      </c>
      <c r="E174" s="3" t="str">
        <f>IFERROR(__xludf.DUMMYFUNCTION("SPLIT(A174,""|"")")," VfS/Instagram/20221125/visitudaipur/4565 ")</f>
        <v> VfS/Instagram/20221125/visitudaipur/4565 </v>
      </c>
      <c r="F174" s="3" t="str">
        <f>IFERROR(__xludf.DUMMYFUNCTION("SPLIT(E174,""/"")")," VfS")</f>
        <v> VfS</v>
      </c>
      <c r="G174" s="3" t="str">
        <f>IFERROR(__xludf.DUMMYFUNCTION("""COMPUTED_VALUE"""),"Instagram")</f>
        <v>Instagram</v>
      </c>
      <c r="H174" s="3">
        <f>IFERROR(__xludf.DUMMYFUNCTION("""COMPUTED_VALUE"""),2.0221125E7)</f>
        <v>20221125</v>
      </c>
      <c r="I174" s="3" t="str">
        <f>IFERROR(__xludf.DUMMYFUNCTION("""COMPUTED_VALUE"""),"visitudaipur")</f>
        <v>visitudaipur</v>
      </c>
      <c r="J174" s="3">
        <f>IFERROR(__xludf.DUMMYFUNCTION("""COMPUTED_VALUE"""),4565.0)</f>
        <v>4565</v>
      </c>
      <c r="K174" s="3" t="str">
        <f t="shared" ref="K174:L174" si="178">TRIM(F174)</f>
        <v>VfS</v>
      </c>
      <c r="L174" s="3" t="str">
        <f t="shared" si="178"/>
        <v>Instagram</v>
      </c>
      <c r="M174" s="3" t="str">
        <f t="shared" si="3"/>
        <v>Instagram</v>
      </c>
      <c r="N174" s="3" t="str">
        <f>IFERROR(__xludf.DUMMYFUNCTION("SPLIT(M174,""&amp;"")"),"Instagram")</f>
        <v>Instagram</v>
      </c>
      <c r="O174" s="3" t="str">
        <f t="shared" si="4"/>
        <v>Instagram</v>
      </c>
      <c r="P174" s="3" t="str">
        <f t="shared" si="5"/>
        <v>visitudaipur</v>
      </c>
      <c r="Q174" s="3" t="str">
        <f t="shared" si="6"/>
        <v>Visitudaipur</v>
      </c>
      <c r="R174" s="3">
        <f t="shared" si="7"/>
        <v>4565</v>
      </c>
    </row>
    <row r="175">
      <c r="A175" s="7" t="s">
        <v>150</v>
      </c>
      <c r="B175" s="8" t="s">
        <v>19</v>
      </c>
      <c r="C175" s="8">
        <v>13800.0</v>
      </c>
      <c r="E175" s="3" t="str">
        <f>IFERROR(__xludf.DUMMYFUNCTION("SPLIT(A175,""|"")")," VIN/OfflINe &amp;/20221128/Visitjodhpur/4566 ")</f>
        <v> VIN/OfflINe &amp;/20221128/Visitjodhpur/4566 </v>
      </c>
      <c r="F175" s="3" t="str">
        <f>IFERROR(__xludf.DUMMYFUNCTION("SPLIT(E175,""/"")")," VIN")</f>
        <v> VIN</v>
      </c>
      <c r="G175" s="3" t="str">
        <f>IFERROR(__xludf.DUMMYFUNCTION("""COMPUTED_VALUE"""),"OfflINe &amp;")</f>
        <v>OfflINe &amp;</v>
      </c>
      <c r="H175" s="3">
        <f>IFERROR(__xludf.DUMMYFUNCTION("""COMPUTED_VALUE"""),2.0221128E7)</f>
        <v>20221128</v>
      </c>
      <c r="I175" s="3" t="str">
        <f>IFERROR(__xludf.DUMMYFUNCTION("""COMPUTED_VALUE"""),"Visitjodhpur")</f>
        <v>Visitjodhpur</v>
      </c>
      <c r="J175" s="3">
        <f>IFERROR(__xludf.DUMMYFUNCTION("""COMPUTED_VALUE"""),4566.0)</f>
        <v>4566</v>
      </c>
      <c r="K175" s="3" t="str">
        <f t="shared" ref="K175:L175" si="179">TRIM(F175)</f>
        <v>VIN</v>
      </c>
      <c r="L175" s="3" t="str">
        <f t="shared" si="179"/>
        <v>OfflINe &amp;</v>
      </c>
      <c r="M175" s="3" t="str">
        <f t="shared" si="3"/>
        <v>Offline &amp;</v>
      </c>
      <c r="N175" s="3" t="str">
        <f>IFERROR(__xludf.DUMMYFUNCTION("SPLIT(M175,""&amp;"")"),"Offline ")</f>
        <v>Offline </v>
      </c>
      <c r="O175" s="3" t="str">
        <f t="shared" si="4"/>
        <v>Offline</v>
      </c>
      <c r="P175" s="3" t="str">
        <f t="shared" si="5"/>
        <v>Visitjodhpur</v>
      </c>
      <c r="Q175" s="3" t="str">
        <f t="shared" si="6"/>
        <v>Visitjodhpur</v>
      </c>
      <c r="R175" s="3">
        <f t="shared" si="7"/>
        <v>4566</v>
      </c>
    </row>
    <row r="176">
      <c r="A176" s="7" t="s">
        <v>121</v>
      </c>
      <c r="B176" s="8" t="s">
        <v>20</v>
      </c>
      <c r="C176" s="8">
        <v>87100.0</v>
      </c>
      <c r="E176" s="3" t="str">
        <f>IFERROR(__xludf.DUMMYFUNCTION("SPLIT(A176,""|"")")," CHQ/Facebook/20221201/Visitjaipur/5676 ")</f>
        <v> CHQ/Facebook/20221201/Visitjaipur/5676 </v>
      </c>
      <c r="F176" s="3" t="str">
        <f>IFERROR(__xludf.DUMMYFUNCTION("SPLIT(E176,""/"")")," CHQ")</f>
        <v> CHQ</v>
      </c>
      <c r="G176" s="3" t="str">
        <f>IFERROR(__xludf.DUMMYFUNCTION("""COMPUTED_VALUE"""),"Facebook")</f>
        <v>Facebook</v>
      </c>
      <c r="H176" s="3">
        <f>IFERROR(__xludf.DUMMYFUNCTION("""COMPUTED_VALUE"""),2.0221201E7)</f>
        <v>20221201</v>
      </c>
      <c r="I176" s="3" t="str">
        <f>IFERROR(__xludf.DUMMYFUNCTION("""COMPUTED_VALUE"""),"Visitjaipur")</f>
        <v>Visitjaipur</v>
      </c>
      <c r="J176" s="3">
        <f>IFERROR(__xludf.DUMMYFUNCTION("""COMPUTED_VALUE"""),5676.0)</f>
        <v>5676</v>
      </c>
      <c r="K176" s="3" t="str">
        <f t="shared" ref="K176:L176" si="180">TRIM(F176)</f>
        <v>CHQ</v>
      </c>
      <c r="L176" s="3" t="str">
        <f t="shared" si="180"/>
        <v>Facebook</v>
      </c>
      <c r="M176" s="3" t="str">
        <f t="shared" si="3"/>
        <v>Facebook</v>
      </c>
      <c r="N176" s="3" t="str">
        <f>IFERROR(__xludf.DUMMYFUNCTION("SPLIT(M176,""&amp;"")"),"Facebook")</f>
        <v>Facebook</v>
      </c>
      <c r="O176" s="3" t="str">
        <f t="shared" si="4"/>
        <v>Facebook</v>
      </c>
      <c r="P176" s="3" t="str">
        <f t="shared" si="5"/>
        <v>Visitjaipur</v>
      </c>
      <c r="Q176" s="3" t="str">
        <f t="shared" si="6"/>
        <v>Visitjaipur</v>
      </c>
      <c r="R176" s="3">
        <f t="shared" si="7"/>
        <v>5676</v>
      </c>
    </row>
    <row r="177">
      <c r="A177" s="7" t="s">
        <v>122</v>
      </c>
      <c r="B177" s="8" t="s">
        <v>20</v>
      </c>
      <c r="C177" s="8">
        <v>96200.0</v>
      </c>
      <c r="E177" s="3" t="str">
        <f>IFERROR(__xludf.DUMMYFUNCTION("SPLIT(A177,""|"")")," VfS/YouTube/20221204/Visitrajasthan/4564 ")</f>
        <v> VfS/YouTube/20221204/Visitrajasthan/4564 </v>
      </c>
      <c r="F177" s="3" t="str">
        <f>IFERROR(__xludf.DUMMYFUNCTION("SPLIT(E177,""/"")")," VfS")</f>
        <v> VfS</v>
      </c>
      <c r="G177" s="3" t="str">
        <f>IFERROR(__xludf.DUMMYFUNCTION("""COMPUTED_VALUE"""),"YouTube")</f>
        <v>YouTube</v>
      </c>
      <c r="H177" s="3">
        <f>IFERROR(__xludf.DUMMYFUNCTION("""COMPUTED_VALUE"""),2.0221204E7)</f>
        <v>20221204</v>
      </c>
      <c r="I177" s="3" t="str">
        <f>IFERROR(__xludf.DUMMYFUNCTION("""COMPUTED_VALUE"""),"Visitrajasthan")</f>
        <v>Visitrajasthan</v>
      </c>
      <c r="J177" s="3">
        <f>IFERROR(__xludf.DUMMYFUNCTION("""COMPUTED_VALUE"""),4564.0)</f>
        <v>4564</v>
      </c>
      <c r="K177" s="3" t="str">
        <f t="shared" ref="K177:L177" si="181">TRIM(F177)</f>
        <v>VfS</v>
      </c>
      <c r="L177" s="3" t="str">
        <f t="shared" si="181"/>
        <v>YouTube</v>
      </c>
      <c r="M177" s="3" t="str">
        <f t="shared" si="3"/>
        <v>Youtube</v>
      </c>
      <c r="N177" s="3" t="str">
        <f>IFERROR(__xludf.DUMMYFUNCTION("SPLIT(M177,""&amp;"")"),"Youtube")</f>
        <v>Youtube</v>
      </c>
      <c r="O177" s="3" t="str">
        <f t="shared" si="4"/>
        <v>Youtube</v>
      </c>
      <c r="P177" s="3" t="str">
        <f t="shared" si="5"/>
        <v>Visitrajasthan</v>
      </c>
      <c r="Q177" s="3" t="str">
        <f t="shared" si="6"/>
        <v>Visitrajasthan</v>
      </c>
      <c r="R177" s="3">
        <f t="shared" si="7"/>
        <v>4564</v>
      </c>
    </row>
    <row r="178">
      <c r="A178" s="7" t="s">
        <v>123</v>
      </c>
      <c r="B178" s="8" t="s">
        <v>20</v>
      </c>
      <c r="C178" s="8">
        <v>88000.0</v>
      </c>
      <c r="E178" s="3" t="str">
        <f>IFERROR(__xludf.DUMMYFUNCTION("SPLIT(A178,""|"")")," NEFT/Instagram/20221207/visitudaipur/4565 ")</f>
        <v> NEFT/Instagram/20221207/visitudaipur/4565 </v>
      </c>
      <c r="F178" s="3" t="str">
        <f>IFERROR(__xludf.DUMMYFUNCTION("SPLIT(E178,""/"")")," NEFT")</f>
        <v> NEFT</v>
      </c>
      <c r="G178" s="3" t="str">
        <f>IFERROR(__xludf.DUMMYFUNCTION("""COMPUTED_VALUE"""),"Instagram")</f>
        <v>Instagram</v>
      </c>
      <c r="H178" s="3">
        <f>IFERROR(__xludf.DUMMYFUNCTION("""COMPUTED_VALUE"""),2.0221207E7)</f>
        <v>20221207</v>
      </c>
      <c r="I178" s="3" t="str">
        <f>IFERROR(__xludf.DUMMYFUNCTION("""COMPUTED_VALUE"""),"visitudaipur")</f>
        <v>visitudaipur</v>
      </c>
      <c r="J178" s="3">
        <f>IFERROR(__xludf.DUMMYFUNCTION("""COMPUTED_VALUE"""),4565.0)</f>
        <v>4565</v>
      </c>
      <c r="K178" s="3" t="str">
        <f t="shared" ref="K178:L178" si="182">TRIM(F178)</f>
        <v>NEFT</v>
      </c>
      <c r="L178" s="3" t="str">
        <f t="shared" si="182"/>
        <v>Instagram</v>
      </c>
      <c r="M178" s="3" t="str">
        <f t="shared" si="3"/>
        <v>Instagram</v>
      </c>
      <c r="N178" s="3" t="str">
        <f>IFERROR(__xludf.DUMMYFUNCTION("SPLIT(M178,""&amp;"")"),"Instagram")</f>
        <v>Instagram</v>
      </c>
      <c r="O178" s="3" t="str">
        <f t="shared" si="4"/>
        <v>Instagram</v>
      </c>
      <c r="P178" s="3" t="str">
        <f t="shared" si="5"/>
        <v>visitudaipur</v>
      </c>
      <c r="Q178" s="3" t="str">
        <f t="shared" si="6"/>
        <v>Visitudaipur</v>
      </c>
      <c r="R178" s="3">
        <f t="shared" si="7"/>
        <v>4565</v>
      </c>
    </row>
    <row r="179">
      <c r="A179" s="7" t="s">
        <v>124</v>
      </c>
      <c r="B179" s="8" t="s">
        <v>20</v>
      </c>
      <c r="C179" s="8">
        <v>21600.0</v>
      </c>
      <c r="E179" s="3" t="str">
        <f>IFERROR(__xludf.DUMMYFUNCTION("SPLIT(A179,""|"")")," CHQ/Offline &amp;/20221210/Visitjodhpur/4566 ")</f>
        <v> CHQ/Offline &amp;/20221210/Visitjodhpur/4566 </v>
      </c>
      <c r="F179" s="3" t="str">
        <f>IFERROR(__xludf.DUMMYFUNCTION("SPLIT(E179,""/"")")," CHQ")</f>
        <v> CHQ</v>
      </c>
      <c r="G179" s="3" t="str">
        <f>IFERROR(__xludf.DUMMYFUNCTION("""COMPUTED_VALUE"""),"Offline &amp;")</f>
        <v>Offline &amp;</v>
      </c>
      <c r="H179" s="3">
        <f>IFERROR(__xludf.DUMMYFUNCTION("""COMPUTED_VALUE"""),2.022121E7)</f>
        <v>20221210</v>
      </c>
      <c r="I179" s="3" t="str">
        <f>IFERROR(__xludf.DUMMYFUNCTION("""COMPUTED_VALUE"""),"Visitjodhpur")</f>
        <v>Visitjodhpur</v>
      </c>
      <c r="J179" s="3">
        <f>IFERROR(__xludf.DUMMYFUNCTION("""COMPUTED_VALUE"""),4566.0)</f>
        <v>4566</v>
      </c>
      <c r="K179" s="3" t="str">
        <f t="shared" ref="K179:L179" si="183">TRIM(F179)</f>
        <v>CHQ</v>
      </c>
      <c r="L179" s="3" t="str">
        <f t="shared" si="183"/>
        <v>Offline &amp;</v>
      </c>
      <c r="M179" s="3" t="str">
        <f t="shared" si="3"/>
        <v>Offline &amp;</v>
      </c>
      <c r="N179" s="3" t="str">
        <f>IFERROR(__xludf.DUMMYFUNCTION("SPLIT(M179,""&amp;"")"),"Offline ")</f>
        <v>Offline </v>
      </c>
      <c r="O179" s="3" t="str">
        <f t="shared" si="4"/>
        <v>Offline</v>
      </c>
      <c r="P179" s="3" t="str">
        <f t="shared" si="5"/>
        <v>Visitjodhpur</v>
      </c>
      <c r="Q179" s="3" t="str">
        <f t="shared" si="6"/>
        <v>Visitjodhpur</v>
      </c>
      <c r="R179" s="3">
        <f t="shared" si="7"/>
        <v>4566</v>
      </c>
    </row>
    <row r="180">
      <c r="A180" s="7" t="s">
        <v>125</v>
      </c>
      <c r="B180" s="8" t="s">
        <v>20</v>
      </c>
      <c r="C180" s="8">
        <v>39900.0</v>
      </c>
      <c r="E180" s="3" t="str">
        <f>IFERROR(__xludf.DUMMYFUNCTION("SPLIT(A180,""|"")")," VfS/Google Ads/20221213/visitJaisalmer/3455 ")</f>
        <v> VfS/Google Ads/20221213/visitJaisalmer/3455 </v>
      </c>
      <c r="F180" s="3" t="str">
        <f>IFERROR(__xludf.DUMMYFUNCTION("SPLIT(E180,""/"")")," VfS")</f>
        <v> VfS</v>
      </c>
      <c r="G180" s="3" t="str">
        <f>IFERROR(__xludf.DUMMYFUNCTION("""COMPUTED_VALUE"""),"Google Ads")</f>
        <v>Google Ads</v>
      </c>
      <c r="H180" s="3">
        <f>IFERROR(__xludf.DUMMYFUNCTION("""COMPUTED_VALUE"""),2.0221213E7)</f>
        <v>20221213</v>
      </c>
      <c r="I180" s="3" t="str">
        <f>IFERROR(__xludf.DUMMYFUNCTION("""COMPUTED_VALUE"""),"visitJaisalmer")</f>
        <v>visitJaisalmer</v>
      </c>
      <c r="J180" s="3">
        <f>IFERROR(__xludf.DUMMYFUNCTION("""COMPUTED_VALUE"""),3455.0)</f>
        <v>3455</v>
      </c>
      <c r="K180" s="3" t="str">
        <f t="shared" ref="K180:L180" si="184">TRIM(F180)</f>
        <v>VfS</v>
      </c>
      <c r="L180" s="3" t="str">
        <f t="shared" si="184"/>
        <v>Google Ads</v>
      </c>
      <c r="M180" s="3" t="str">
        <f t="shared" si="3"/>
        <v>Google Ads</v>
      </c>
      <c r="N180" s="3" t="str">
        <f>IFERROR(__xludf.DUMMYFUNCTION("SPLIT(M180,""&amp;"")"),"Google Ads")</f>
        <v>Google Ads</v>
      </c>
      <c r="O180" s="3" t="str">
        <f t="shared" si="4"/>
        <v>Google Ads</v>
      </c>
      <c r="P180" s="3" t="str">
        <f t="shared" si="5"/>
        <v>visitJaisalmer</v>
      </c>
      <c r="Q180" s="3" t="str">
        <f t="shared" si="6"/>
        <v>Visitjaisalmer</v>
      </c>
      <c r="R180" s="3">
        <f t="shared" si="7"/>
        <v>3455</v>
      </c>
    </row>
    <row r="181">
      <c r="A181" s="7" t="s">
        <v>126</v>
      </c>
      <c r="B181" s="8" t="s">
        <v>20</v>
      </c>
      <c r="C181" s="8">
        <v>76600.0</v>
      </c>
      <c r="E181" s="3" t="str">
        <f>IFERROR(__xludf.DUMMYFUNCTION("SPLIT(A181,""|"")")," VIN/TwiTter/20221216/visitbikaner/5666 ")</f>
        <v> VIN/TwiTter/20221216/visitbikaner/5666 </v>
      </c>
      <c r="F181" s="3" t="str">
        <f>IFERROR(__xludf.DUMMYFUNCTION("SPLIT(E181,""/"")")," VIN")</f>
        <v> VIN</v>
      </c>
      <c r="G181" s="3" t="str">
        <f>IFERROR(__xludf.DUMMYFUNCTION("""COMPUTED_VALUE"""),"TwiTter")</f>
        <v>TwiTter</v>
      </c>
      <c r="H181" s="3">
        <f>IFERROR(__xludf.DUMMYFUNCTION("""COMPUTED_VALUE"""),2.0221216E7)</f>
        <v>20221216</v>
      </c>
      <c r="I181" s="3" t="str">
        <f>IFERROR(__xludf.DUMMYFUNCTION("""COMPUTED_VALUE"""),"visitbikaner")</f>
        <v>visitbikaner</v>
      </c>
      <c r="J181" s="3">
        <f>IFERROR(__xludf.DUMMYFUNCTION("""COMPUTED_VALUE"""),5666.0)</f>
        <v>5666</v>
      </c>
      <c r="K181" s="3" t="str">
        <f t="shared" ref="K181:L181" si="185">TRIM(F181)</f>
        <v>VIN</v>
      </c>
      <c r="L181" s="3" t="str">
        <f t="shared" si="185"/>
        <v>TwiTter</v>
      </c>
      <c r="M181" s="3" t="str">
        <f t="shared" si="3"/>
        <v>Twitter</v>
      </c>
      <c r="N181" s="3" t="str">
        <f>IFERROR(__xludf.DUMMYFUNCTION("SPLIT(M181,""&amp;"")"),"Twitter")</f>
        <v>Twitter</v>
      </c>
      <c r="O181" s="3" t="str">
        <f t="shared" si="4"/>
        <v>Twitter</v>
      </c>
      <c r="P181" s="3" t="str">
        <f t="shared" si="5"/>
        <v>visitbikaner</v>
      </c>
      <c r="Q181" s="3" t="str">
        <f t="shared" si="6"/>
        <v>Visitbikaner</v>
      </c>
      <c r="R181" s="3">
        <f t="shared" si="7"/>
        <v>5666</v>
      </c>
    </row>
    <row r="182">
      <c r="A182" s="7" t="s">
        <v>127</v>
      </c>
      <c r="B182" s="8" t="s">
        <v>20</v>
      </c>
      <c r="C182" s="8">
        <v>76400.0</v>
      </c>
      <c r="E182" s="3" t="str">
        <f>IFERROR(__xludf.DUMMYFUNCTION("SPLIT(A182,""|"")")," NEFT/Facebook/20221219/Visitjaipur/5676 ")</f>
        <v> NEFT/Facebook/20221219/Visitjaipur/5676 </v>
      </c>
      <c r="F182" s="3" t="str">
        <f>IFERROR(__xludf.DUMMYFUNCTION("SPLIT(E182,""/"")")," NEFT")</f>
        <v> NEFT</v>
      </c>
      <c r="G182" s="3" t="str">
        <f>IFERROR(__xludf.DUMMYFUNCTION("""COMPUTED_VALUE"""),"Facebook")</f>
        <v>Facebook</v>
      </c>
      <c r="H182" s="3">
        <f>IFERROR(__xludf.DUMMYFUNCTION("""COMPUTED_VALUE"""),2.0221219E7)</f>
        <v>20221219</v>
      </c>
      <c r="I182" s="3" t="str">
        <f>IFERROR(__xludf.DUMMYFUNCTION("""COMPUTED_VALUE"""),"Visitjaipur")</f>
        <v>Visitjaipur</v>
      </c>
      <c r="J182" s="3">
        <f>IFERROR(__xludf.DUMMYFUNCTION("""COMPUTED_VALUE"""),5676.0)</f>
        <v>5676</v>
      </c>
      <c r="K182" s="3" t="str">
        <f t="shared" ref="K182:L182" si="186">TRIM(F182)</f>
        <v>NEFT</v>
      </c>
      <c r="L182" s="3" t="str">
        <f t="shared" si="186"/>
        <v>Facebook</v>
      </c>
      <c r="M182" s="3" t="str">
        <f t="shared" si="3"/>
        <v>Facebook</v>
      </c>
      <c r="N182" s="3" t="str">
        <f>IFERROR(__xludf.DUMMYFUNCTION("SPLIT(M182,""&amp;"")"),"Facebook")</f>
        <v>Facebook</v>
      </c>
      <c r="O182" s="3" t="str">
        <f t="shared" si="4"/>
        <v>Facebook</v>
      </c>
      <c r="P182" s="3" t="str">
        <f t="shared" si="5"/>
        <v>Visitjaipur</v>
      </c>
      <c r="Q182" s="3" t="str">
        <f t="shared" si="6"/>
        <v>Visitjaipur</v>
      </c>
      <c r="R182" s="3">
        <f t="shared" si="7"/>
        <v>5676</v>
      </c>
    </row>
    <row r="183">
      <c r="A183" s="7" t="s">
        <v>128</v>
      </c>
      <c r="B183" s="8" t="s">
        <v>20</v>
      </c>
      <c r="C183" s="8">
        <v>37700.0</v>
      </c>
      <c r="E183" s="3" t="str">
        <f>IFERROR(__xludf.DUMMYFUNCTION("SPLIT(A183,""|"")")," CHQ/YouTube &amp;/20221222/Visitrajasthan/4564 ")</f>
        <v> CHQ/YouTube &amp;/20221222/Visitrajasthan/4564 </v>
      </c>
      <c r="F183" s="3" t="str">
        <f>IFERROR(__xludf.DUMMYFUNCTION("SPLIT(E183,""/"")")," CHQ")</f>
        <v> CHQ</v>
      </c>
      <c r="G183" s="3" t="str">
        <f>IFERROR(__xludf.DUMMYFUNCTION("""COMPUTED_VALUE"""),"YouTube &amp;")</f>
        <v>YouTube &amp;</v>
      </c>
      <c r="H183" s="3">
        <f>IFERROR(__xludf.DUMMYFUNCTION("""COMPUTED_VALUE"""),2.0221222E7)</f>
        <v>20221222</v>
      </c>
      <c r="I183" s="3" t="str">
        <f>IFERROR(__xludf.DUMMYFUNCTION("""COMPUTED_VALUE"""),"Visitrajasthan")</f>
        <v>Visitrajasthan</v>
      </c>
      <c r="J183" s="3">
        <f>IFERROR(__xludf.DUMMYFUNCTION("""COMPUTED_VALUE"""),4564.0)</f>
        <v>4564</v>
      </c>
      <c r="K183" s="3" t="str">
        <f t="shared" ref="K183:L183" si="187">TRIM(F183)</f>
        <v>CHQ</v>
      </c>
      <c r="L183" s="3" t="str">
        <f t="shared" si="187"/>
        <v>YouTube &amp;</v>
      </c>
      <c r="M183" s="3" t="str">
        <f t="shared" si="3"/>
        <v>Youtube &amp;</v>
      </c>
      <c r="N183" s="3" t="str">
        <f>IFERROR(__xludf.DUMMYFUNCTION("SPLIT(M183,""&amp;"")"),"Youtube ")</f>
        <v>Youtube </v>
      </c>
      <c r="O183" s="3" t="str">
        <f t="shared" si="4"/>
        <v>Youtube</v>
      </c>
      <c r="P183" s="3" t="str">
        <f t="shared" si="5"/>
        <v>Visitrajasthan</v>
      </c>
      <c r="Q183" s="3" t="str">
        <f t="shared" si="6"/>
        <v>Visitrajasthan</v>
      </c>
      <c r="R183" s="3">
        <f t="shared" si="7"/>
        <v>4564</v>
      </c>
    </row>
    <row r="184">
      <c r="A184" s="7" t="s">
        <v>129</v>
      </c>
      <c r="B184" s="8" t="s">
        <v>20</v>
      </c>
      <c r="C184" s="8">
        <v>33500.0</v>
      </c>
      <c r="E184" s="3" t="str">
        <f>IFERROR(__xludf.DUMMYFUNCTION("SPLIT(A184,""|"")")," VfS/Instagram/20221225/visitudaipur/4565 ")</f>
        <v> VfS/Instagram/20221225/visitudaipur/4565 </v>
      </c>
      <c r="F184" s="3" t="str">
        <f>IFERROR(__xludf.DUMMYFUNCTION("SPLIT(E184,""/"")")," VfS")</f>
        <v> VfS</v>
      </c>
      <c r="G184" s="3" t="str">
        <f>IFERROR(__xludf.DUMMYFUNCTION("""COMPUTED_VALUE"""),"Instagram")</f>
        <v>Instagram</v>
      </c>
      <c r="H184" s="3">
        <f>IFERROR(__xludf.DUMMYFUNCTION("""COMPUTED_VALUE"""),2.0221225E7)</f>
        <v>20221225</v>
      </c>
      <c r="I184" s="3" t="str">
        <f>IFERROR(__xludf.DUMMYFUNCTION("""COMPUTED_VALUE"""),"visitudaipur")</f>
        <v>visitudaipur</v>
      </c>
      <c r="J184" s="3">
        <f>IFERROR(__xludf.DUMMYFUNCTION("""COMPUTED_VALUE"""),4565.0)</f>
        <v>4565</v>
      </c>
      <c r="K184" s="3" t="str">
        <f t="shared" ref="K184:L184" si="188">TRIM(F184)</f>
        <v>VfS</v>
      </c>
      <c r="L184" s="3" t="str">
        <f t="shared" si="188"/>
        <v>Instagram</v>
      </c>
      <c r="M184" s="3" t="str">
        <f t="shared" si="3"/>
        <v>Instagram</v>
      </c>
      <c r="N184" s="3" t="str">
        <f>IFERROR(__xludf.DUMMYFUNCTION("SPLIT(M184,""&amp;"")"),"Instagram")</f>
        <v>Instagram</v>
      </c>
      <c r="O184" s="3" t="str">
        <f t="shared" si="4"/>
        <v>Instagram</v>
      </c>
      <c r="P184" s="3" t="str">
        <f t="shared" si="5"/>
        <v>visitudaipur</v>
      </c>
      <c r="Q184" s="3" t="str">
        <f t="shared" si="6"/>
        <v>Visitudaipur</v>
      </c>
      <c r="R184" s="3">
        <f t="shared" si="7"/>
        <v>4565</v>
      </c>
    </row>
    <row r="185">
      <c r="A185" s="7" t="s">
        <v>130</v>
      </c>
      <c r="B185" s="8" t="s">
        <v>20</v>
      </c>
      <c r="C185" s="8">
        <v>11800.0</v>
      </c>
      <c r="E185" s="3" t="str">
        <f>IFERROR(__xludf.DUMMYFUNCTION("SPLIT(A185,""|"")")," VIN/OfflINe &amp;/20221228/Visitjodhpur/4566 ")</f>
        <v> VIN/OfflINe &amp;/20221228/Visitjodhpur/4566 </v>
      </c>
      <c r="F185" s="3" t="str">
        <f>IFERROR(__xludf.DUMMYFUNCTION("SPLIT(E185,""/"")")," VIN")</f>
        <v> VIN</v>
      </c>
      <c r="G185" s="3" t="str">
        <f>IFERROR(__xludf.DUMMYFUNCTION("""COMPUTED_VALUE"""),"OfflINe &amp;")</f>
        <v>OfflINe &amp;</v>
      </c>
      <c r="H185" s="3">
        <f>IFERROR(__xludf.DUMMYFUNCTION("""COMPUTED_VALUE"""),2.0221228E7)</f>
        <v>20221228</v>
      </c>
      <c r="I185" s="3" t="str">
        <f>IFERROR(__xludf.DUMMYFUNCTION("""COMPUTED_VALUE"""),"Visitjodhpur")</f>
        <v>Visitjodhpur</v>
      </c>
      <c r="J185" s="3">
        <f>IFERROR(__xludf.DUMMYFUNCTION("""COMPUTED_VALUE"""),4566.0)</f>
        <v>4566</v>
      </c>
      <c r="K185" s="3" t="str">
        <f t="shared" ref="K185:L185" si="189">TRIM(F185)</f>
        <v>VIN</v>
      </c>
      <c r="L185" s="3" t="str">
        <f t="shared" si="189"/>
        <v>OfflINe &amp;</v>
      </c>
      <c r="M185" s="3" t="str">
        <f t="shared" si="3"/>
        <v>Offline &amp;</v>
      </c>
      <c r="N185" s="3" t="str">
        <f>IFERROR(__xludf.DUMMYFUNCTION("SPLIT(M185,""&amp;"")"),"Offline ")</f>
        <v>Offline </v>
      </c>
      <c r="O185" s="3" t="str">
        <f t="shared" si="4"/>
        <v>Offline</v>
      </c>
      <c r="P185" s="3" t="str">
        <f t="shared" si="5"/>
        <v>Visitjodhpur</v>
      </c>
      <c r="Q185" s="3" t="str">
        <f t="shared" si="6"/>
        <v>Visitjodhpur</v>
      </c>
      <c r="R185" s="3">
        <f t="shared" si="7"/>
        <v>4566</v>
      </c>
    </row>
    <row r="186">
      <c r="A186" s="7" t="s">
        <v>131</v>
      </c>
      <c r="B186" s="8" t="s">
        <v>6</v>
      </c>
      <c r="C186" s="8">
        <v>22300.0</v>
      </c>
      <c r="E186" s="3" t="str">
        <f>IFERROR(__xludf.DUMMYFUNCTION("SPLIT(A186,""|"")")," CHQ/Facebook/20221001/Visitjaipur/5676 ")</f>
        <v> CHQ/Facebook/20221001/Visitjaipur/5676 </v>
      </c>
      <c r="F186" s="3" t="str">
        <f>IFERROR(__xludf.DUMMYFUNCTION("SPLIT(E186,""/"")")," CHQ")</f>
        <v> CHQ</v>
      </c>
      <c r="G186" s="3" t="str">
        <f>IFERROR(__xludf.DUMMYFUNCTION("""COMPUTED_VALUE"""),"Facebook")</f>
        <v>Facebook</v>
      </c>
      <c r="H186" s="3">
        <f>IFERROR(__xludf.DUMMYFUNCTION("""COMPUTED_VALUE"""),2.0221001E7)</f>
        <v>20221001</v>
      </c>
      <c r="I186" s="3" t="str">
        <f>IFERROR(__xludf.DUMMYFUNCTION("""COMPUTED_VALUE"""),"Visitjaipur")</f>
        <v>Visitjaipur</v>
      </c>
      <c r="J186" s="3">
        <f>IFERROR(__xludf.DUMMYFUNCTION("""COMPUTED_VALUE"""),5676.0)</f>
        <v>5676</v>
      </c>
      <c r="K186" s="3" t="str">
        <f t="shared" ref="K186:L186" si="190">TRIM(F186)</f>
        <v>CHQ</v>
      </c>
      <c r="L186" s="3" t="str">
        <f t="shared" si="190"/>
        <v>Facebook</v>
      </c>
      <c r="M186" s="3" t="str">
        <f t="shared" si="3"/>
        <v>Facebook</v>
      </c>
      <c r="N186" s="3" t="str">
        <f>IFERROR(__xludf.DUMMYFUNCTION("SPLIT(M186,""&amp;"")"),"Facebook")</f>
        <v>Facebook</v>
      </c>
      <c r="O186" s="3" t="str">
        <f t="shared" si="4"/>
        <v>Facebook</v>
      </c>
      <c r="P186" s="3" t="str">
        <f t="shared" si="5"/>
        <v>Visitjaipur</v>
      </c>
      <c r="Q186" s="3" t="str">
        <f t="shared" si="6"/>
        <v>Visitjaipur</v>
      </c>
      <c r="R186" s="3">
        <f t="shared" si="7"/>
        <v>5676</v>
      </c>
    </row>
    <row r="187">
      <c r="A187" s="7" t="s">
        <v>132</v>
      </c>
      <c r="B187" s="8" t="s">
        <v>6</v>
      </c>
      <c r="C187" s="8">
        <v>15300.0</v>
      </c>
      <c r="E187" s="3" t="str">
        <f>IFERROR(__xludf.DUMMYFUNCTION("SPLIT(A187,""|"")")," VfS/YouTube/20221004/Visitrajasthan/4564 ")</f>
        <v> VfS/YouTube/20221004/Visitrajasthan/4564 </v>
      </c>
      <c r="F187" s="3" t="str">
        <f>IFERROR(__xludf.DUMMYFUNCTION("SPLIT(E187,""/"")")," VfS")</f>
        <v> VfS</v>
      </c>
      <c r="G187" s="3" t="str">
        <f>IFERROR(__xludf.DUMMYFUNCTION("""COMPUTED_VALUE"""),"YouTube")</f>
        <v>YouTube</v>
      </c>
      <c r="H187" s="3">
        <f>IFERROR(__xludf.DUMMYFUNCTION("""COMPUTED_VALUE"""),2.0221004E7)</f>
        <v>20221004</v>
      </c>
      <c r="I187" s="3" t="str">
        <f>IFERROR(__xludf.DUMMYFUNCTION("""COMPUTED_VALUE"""),"Visitrajasthan")</f>
        <v>Visitrajasthan</v>
      </c>
      <c r="J187" s="3">
        <f>IFERROR(__xludf.DUMMYFUNCTION("""COMPUTED_VALUE"""),4564.0)</f>
        <v>4564</v>
      </c>
      <c r="K187" s="3" t="str">
        <f t="shared" ref="K187:L187" si="191">TRIM(F187)</f>
        <v>VfS</v>
      </c>
      <c r="L187" s="3" t="str">
        <f t="shared" si="191"/>
        <v>YouTube</v>
      </c>
      <c r="M187" s="3" t="str">
        <f t="shared" si="3"/>
        <v>Youtube</v>
      </c>
      <c r="N187" s="3" t="str">
        <f>IFERROR(__xludf.DUMMYFUNCTION("SPLIT(M187,""&amp;"")"),"Youtube")</f>
        <v>Youtube</v>
      </c>
      <c r="O187" s="3" t="str">
        <f t="shared" si="4"/>
        <v>Youtube</v>
      </c>
      <c r="P187" s="3" t="str">
        <f t="shared" si="5"/>
        <v>Visitrajasthan</v>
      </c>
      <c r="Q187" s="3" t="str">
        <f t="shared" si="6"/>
        <v>Visitrajasthan</v>
      </c>
      <c r="R187" s="3">
        <f t="shared" si="7"/>
        <v>4564</v>
      </c>
    </row>
    <row r="188">
      <c r="A188" s="7" t="s">
        <v>133</v>
      </c>
      <c r="B188" s="8" t="s">
        <v>6</v>
      </c>
      <c r="C188" s="8">
        <v>52400.0</v>
      </c>
      <c r="E188" s="3" t="str">
        <f>IFERROR(__xludf.DUMMYFUNCTION("SPLIT(A188,""|"")")," NEFT/Instagram/20221007/visitudaipur/4565 ")</f>
        <v> NEFT/Instagram/20221007/visitudaipur/4565 </v>
      </c>
      <c r="F188" s="3" t="str">
        <f>IFERROR(__xludf.DUMMYFUNCTION("SPLIT(E188,""/"")")," NEFT")</f>
        <v> NEFT</v>
      </c>
      <c r="G188" s="3" t="str">
        <f>IFERROR(__xludf.DUMMYFUNCTION("""COMPUTED_VALUE"""),"Instagram")</f>
        <v>Instagram</v>
      </c>
      <c r="H188" s="3">
        <f>IFERROR(__xludf.DUMMYFUNCTION("""COMPUTED_VALUE"""),2.0221007E7)</f>
        <v>20221007</v>
      </c>
      <c r="I188" s="3" t="str">
        <f>IFERROR(__xludf.DUMMYFUNCTION("""COMPUTED_VALUE"""),"visitudaipur")</f>
        <v>visitudaipur</v>
      </c>
      <c r="J188" s="3">
        <f>IFERROR(__xludf.DUMMYFUNCTION("""COMPUTED_VALUE"""),4565.0)</f>
        <v>4565</v>
      </c>
      <c r="K188" s="3" t="str">
        <f t="shared" ref="K188:L188" si="192">TRIM(F188)</f>
        <v>NEFT</v>
      </c>
      <c r="L188" s="3" t="str">
        <f t="shared" si="192"/>
        <v>Instagram</v>
      </c>
      <c r="M188" s="3" t="str">
        <f t="shared" si="3"/>
        <v>Instagram</v>
      </c>
      <c r="N188" s="3" t="str">
        <f>IFERROR(__xludf.DUMMYFUNCTION("SPLIT(M188,""&amp;"")"),"Instagram")</f>
        <v>Instagram</v>
      </c>
      <c r="O188" s="3" t="str">
        <f t="shared" si="4"/>
        <v>Instagram</v>
      </c>
      <c r="P188" s="3" t="str">
        <f t="shared" si="5"/>
        <v>visitudaipur</v>
      </c>
      <c r="Q188" s="3" t="str">
        <f t="shared" si="6"/>
        <v>Visitudaipur</v>
      </c>
      <c r="R188" s="3">
        <f t="shared" si="7"/>
        <v>4565</v>
      </c>
    </row>
    <row r="189">
      <c r="A189" s="7" t="s">
        <v>134</v>
      </c>
      <c r="B189" s="8" t="s">
        <v>6</v>
      </c>
      <c r="C189" s="8">
        <v>78300.0</v>
      </c>
      <c r="E189" s="3" t="str">
        <f>IFERROR(__xludf.DUMMYFUNCTION("SPLIT(A189,""|"")")," CHQ/Offline &amp;/20221010/Visitjodhpur/4566 ")</f>
        <v> CHQ/Offline &amp;/20221010/Visitjodhpur/4566 </v>
      </c>
      <c r="F189" s="3" t="str">
        <f>IFERROR(__xludf.DUMMYFUNCTION("SPLIT(E189,""/"")")," CHQ")</f>
        <v> CHQ</v>
      </c>
      <c r="G189" s="3" t="str">
        <f>IFERROR(__xludf.DUMMYFUNCTION("""COMPUTED_VALUE"""),"Offline &amp;")</f>
        <v>Offline &amp;</v>
      </c>
      <c r="H189" s="3">
        <f>IFERROR(__xludf.DUMMYFUNCTION("""COMPUTED_VALUE"""),2.022101E7)</f>
        <v>20221010</v>
      </c>
      <c r="I189" s="3" t="str">
        <f>IFERROR(__xludf.DUMMYFUNCTION("""COMPUTED_VALUE"""),"Visitjodhpur")</f>
        <v>Visitjodhpur</v>
      </c>
      <c r="J189" s="3">
        <f>IFERROR(__xludf.DUMMYFUNCTION("""COMPUTED_VALUE"""),4566.0)</f>
        <v>4566</v>
      </c>
      <c r="K189" s="3" t="str">
        <f t="shared" ref="K189:L189" si="193">TRIM(F189)</f>
        <v>CHQ</v>
      </c>
      <c r="L189" s="3" t="str">
        <f t="shared" si="193"/>
        <v>Offline &amp;</v>
      </c>
      <c r="M189" s="3" t="str">
        <f t="shared" si="3"/>
        <v>Offline &amp;</v>
      </c>
      <c r="N189" s="3" t="str">
        <f>IFERROR(__xludf.DUMMYFUNCTION("SPLIT(M189,""&amp;"")"),"Offline ")</f>
        <v>Offline </v>
      </c>
      <c r="O189" s="3" t="str">
        <f t="shared" si="4"/>
        <v>Offline</v>
      </c>
      <c r="P189" s="3" t="str">
        <f t="shared" si="5"/>
        <v>Visitjodhpur</v>
      </c>
      <c r="Q189" s="3" t="str">
        <f t="shared" si="6"/>
        <v>Visitjodhpur</v>
      </c>
      <c r="R189" s="3">
        <f t="shared" si="7"/>
        <v>4566</v>
      </c>
    </row>
    <row r="190">
      <c r="A190" s="7" t="s">
        <v>151</v>
      </c>
      <c r="B190" s="8" t="s">
        <v>6</v>
      </c>
      <c r="C190" s="8">
        <v>42800.0</v>
      </c>
      <c r="E190" s="3" t="str">
        <f>IFERROR(__xludf.DUMMYFUNCTION("SPLIT(A190,""|"")")," VfS/Google Ads/20221013/visitJaisalmer/3455 ")</f>
        <v> VfS/Google Ads/20221013/visitJaisalmer/3455 </v>
      </c>
      <c r="F190" s="3" t="str">
        <f>IFERROR(__xludf.DUMMYFUNCTION("SPLIT(E190,""/"")")," VfS")</f>
        <v> VfS</v>
      </c>
      <c r="G190" s="3" t="str">
        <f>IFERROR(__xludf.DUMMYFUNCTION("""COMPUTED_VALUE"""),"Google Ads")</f>
        <v>Google Ads</v>
      </c>
      <c r="H190" s="3">
        <f>IFERROR(__xludf.DUMMYFUNCTION("""COMPUTED_VALUE"""),2.0221013E7)</f>
        <v>20221013</v>
      </c>
      <c r="I190" s="3" t="str">
        <f>IFERROR(__xludf.DUMMYFUNCTION("""COMPUTED_VALUE"""),"visitJaisalmer")</f>
        <v>visitJaisalmer</v>
      </c>
      <c r="J190" s="3">
        <f>IFERROR(__xludf.DUMMYFUNCTION("""COMPUTED_VALUE"""),3455.0)</f>
        <v>3455</v>
      </c>
      <c r="K190" s="3" t="str">
        <f t="shared" ref="K190:L190" si="194">TRIM(F190)</f>
        <v>VfS</v>
      </c>
      <c r="L190" s="3" t="str">
        <f t="shared" si="194"/>
        <v>Google Ads</v>
      </c>
      <c r="M190" s="3" t="str">
        <f t="shared" si="3"/>
        <v>Google Ads</v>
      </c>
      <c r="N190" s="3" t="str">
        <f>IFERROR(__xludf.DUMMYFUNCTION("SPLIT(M190,""&amp;"")"),"Google Ads")</f>
        <v>Google Ads</v>
      </c>
      <c r="O190" s="3" t="str">
        <f t="shared" si="4"/>
        <v>Google Ads</v>
      </c>
      <c r="P190" s="3" t="str">
        <f t="shared" si="5"/>
        <v>visitJaisalmer</v>
      </c>
      <c r="Q190" s="3" t="str">
        <f t="shared" si="6"/>
        <v>Visitjaisalmer</v>
      </c>
      <c r="R190" s="3">
        <f t="shared" si="7"/>
        <v>3455</v>
      </c>
    </row>
    <row r="191">
      <c r="A191" s="7" t="s">
        <v>136</v>
      </c>
      <c r="B191" s="8" t="s">
        <v>6</v>
      </c>
      <c r="C191" s="8">
        <v>18900.0</v>
      </c>
      <c r="E191" s="3" t="str">
        <f>IFERROR(__xludf.DUMMYFUNCTION("SPLIT(A191,""|"")")," VIN/TwiTter/20221016/visitbikaner/5666 ")</f>
        <v> VIN/TwiTter/20221016/visitbikaner/5666 </v>
      </c>
      <c r="F191" s="3" t="str">
        <f>IFERROR(__xludf.DUMMYFUNCTION("SPLIT(E191,""/"")")," VIN")</f>
        <v> VIN</v>
      </c>
      <c r="G191" s="3" t="str">
        <f>IFERROR(__xludf.DUMMYFUNCTION("""COMPUTED_VALUE"""),"TwiTter")</f>
        <v>TwiTter</v>
      </c>
      <c r="H191" s="3">
        <f>IFERROR(__xludf.DUMMYFUNCTION("""COMPUTED_VALUE"""),2.0221016E7)</f>
        <v>20221016</v>
      </c>
      <c r="I191" s="3" t="str">
        <f>IFERROR(__xludf.DUMMYFUNCTION("""COMPUTED_VALUE"""),"visitbikaner")</f>
        <v>visitbikaner</v>
      </c>
      <c r="J191" s="3">
        <f>IFERROR(__xludf.DUMMYFUNCTION("""COMPUTED_VALUE"""),5666.0)</f>
        <v>5666</v>
      </c>
      <c r="K191" s="3" t="str">
        <f t="shared" ref="K191:L191" si="195">TRIM(F191)</f>
        <v>VIN</v>
      </c>
      <c r="L191" s="3" t="str">
        <f t="shared" si="195"/>
        <v>TwiTter</v>
      </c>
      <c r="M191" s="3" t="str">
        <f t="shared" si="3"/>
        <v>Twitter</v>
      </c>
      <c r="N191" s="3" t="str">
        <f>IFERROR(__xludf.DUMMYFUNCTION("SPLIT(M191,""&amp;"")"),"Twitter")</f>
        <v>Twitter</v>
      </c>
      <c r="O191" s="3" t="str">
        <f t="shared" si="4"/>
        <v>Twitter</v>
      </c>
      <c r="P191" s="3" t="str">
        <f t="shared" si="5"/>
        <v>visitbikaner</v>
      </c>
      <c r="Q191" s="3" t="str">
        <f t="shared" si="6"/>
        <v>Visitbikaner</v>
      </c>
      <c r="R191" s="3">
        <f t="shared" si="7"/>
        <v>5666</v>
      </c>
    </row>
    <row r="192">
      <c r="A192" s="7" t="s">
        <v>137</v>
      </c>
      <c r="B192" s="8" t="s">
        <v>6</v>
      </c>
      <c r="C192" s="8">
        <v>19800.0</v>
      </c>
      <c r="E192" s="3" t="str">
        <f>IFERROR(__xludf.DUMMYFUNCTION("SPLIT(A192,""|"")")," NEFT/Facebook/20221019/Visitjaipur/5676 ")</f>
        <v> NEFT/Facebook/20221019/Visitjaipur/5676 </v>
      </c>
      <c r="F192" s="3" t="str">
        <f>IFERROR(__xludf.DUMMYFUNCTION("SPLIT(E192,""/"")")," NEFT")</f>
        <v> NEFT</v>
      </c>
      <c r="G192" s="3" t="str">
        <f>IFERROR(__xludf.DUMMYFUNCTION("""COMPUTED_VALUE"""),"Facebook")</f>
        <v>Facebook</v>
      </c>
      <c r="H192" s="3">
        <f>IFERROR(__xludf.DUMMYFUNCTION("""COMPUTED_VALUE"""),2.0221019E7)</f>
        <v>20221019</v>
      </c>
      <c r="I192" s="3" t="str">
        <f>IFERROR(__xludf.DUMMYFUNCTION("""COMPUTED_VALUE"""),"Visitjaipur")</f>
        <v>Visitjaipur</v>
      </c>
      <c r="J192" s="3">
        <f>IFERROR(__xludf.DUMMYFUNCTION("""COMPUTED_VALUE"""),5676.0)</f>
        <v>5676</v>
      </c>
      <c r="K192" s="3" t="str">
        <f t="shared" ref="K192:L192" si="196">TRIM(F192)</f>
        <v>NEFT</v>
      </c>
      <c r="L192" s="3" t="str">
        <f t="shared" si="196"/>
        <v>Facebook</v>
      </c>
      <c r="M192" s="3" t="str">
        <f t="shared" si="3"/>
        <v>Facebook</v>
      </c>
      <c r="N192" s="3" t="str">
        <f>IFERROR(__xludf.DUMMYFUNCTION("SPLIT(M192,""&amp;"")"),"Facebook")</f>
        <v>Facebook</v>
      </c>
      <c r="O192" s="3" t="str">
        <f t="shared" si="4"/>
        <v>Facebook</v>
      </c>
      <c r="P192" s="3" t="str">
        <f t="shared" si="5"/>
        <v>Visitjaipur</v>
      </c>
      <c r="Q192" s="3" t="str">
        <f t="shared" si="6"/>
        <v>Visitjaipur</v>
      </c>
      <c r="R192" s="3">
        <f t="shared" si="7"/>
        <v>5676</v>
      </c>
    </row>
    <row r="193">
      <c r="A193" s="7" t="s">
        <v>138</v>
      </c>
      <c r="B193" s="8" t="s">
        <v>6</v>
      </c>
      <c r="C193" s="8">
        <v>25600.0</v>
      </c>
      <c r="E193" s="3" t="str">
        <f>IFERROR(__xludf.DUMMYFUNCTION("SPLIT(A193,""|"")")," CHQ/YouTube &amp;/20221022/Visitrajasthan/4564 ")</f>
        <v> CHQ/YouTube &amp;/20221022/Visitrajasthan/4564 </v>
      </c>
      <c r="F193" s="3" t="str">
        <f>IFERROR(__xludf.DUMMYFUNCTION("SPLIT(E193,""/"")")," CHQ")</f>
        <v> CHQ</v>
      </c>
      <c r="G193" s="3" t="str">
        <f>IFERROR(__xludf.DUMMYFUNCTION("""COMPUTED_VALUE"""),"YouTube &amp;")</f>
        <v>YouTube &amp;</v>
      </c>
      <c r="H193" s="3">
        <f>IFERROR(__xludf.DUMMYFUNCTION("""COMPUTED_VALUE"""),2.0221022E7)</f>
        <v>20221022</v>
      </c>
      <c r="I193" s="3" t="str">
        <f>IFERROR(__xludf.DUMMYFUNCTION("""COMPUTED_VALUE"""),"Visitrajasthan")</f>
        <v>Visitrajasthan</v>
      </c>
      <c r="J193" s="3">
        <f>IFERROR(__xludf.DUMMYFUNCTION("""COMPUTED_VALUE"""),4564.0)</f>
        <v>4564</v>
      </c>
      <c r="K193" s="3" t="str">
        <f t="shared" ref="K193:L193" si="197">TRIM(F193)</f>
        <v>CHQ</v>
      </c>
      <c r="L193" s="3" t="str">
        <f t="shared" si="197"/>
        <v>YouTube &amp;</v>
      </c>
      <c r="M193" s="3" t="str">
        <f t="shared" si="3"/>
        <v>Youtube &amp;</v>
      </c>
      <c r="N193" s="3" t="str">
        <f>IFERROR(__xludf.DUMMYFUNCTION("SPLIT(M193,""&amp;"")"),"Youtube ")</f>
        <v>Youtube </v>
      </c>
      <c r="O193" s="3" t="str">
        <f t="shared" si="4"/>
        <v>Youtube</v>
      </c>
      <c r="P193" s="3" t="str">
        <f t="shared" si="5"/>
        <v>Visitrajasthan</v>
      </c>
      <c r="Q193" s="3" t="str">
        <f t="shared" si="6"/>
        <v>Visitrajasthan</v>
      </c>
      <c r="R193" s="3">
        <f t="shared" si="7"/>
        <v>4564</v>
      </c>
    </row>
    <row r="194">
      <c r="A194" s="7" t="s">
        <v>139</v>
      </c>
      <c r="B194" s="8" t="s">
        <v>6</v>
      </c>
      <c r="C194" s="8">
        <v>41200.0</v>
      </c>
      <c r="E194" s="3" t="str">
        <f>IFERROR(__xludf.DUMMYFUNCTION("SPLIT(A194,""|"")")," VfS/Instagram/20221025/visitudaipur/4565 ")</f>
        <v> VfS/Instagram/20221025/visitudaipur/4565 </v>
      </c>
      <c r="F194" s="3" t="str">
        <f>IFERROR(__xludf.DUMMYFUNCTION("SPLIT(E194,""/"")")," VfS")</f>
        <v> VfS</v>
      </c>
      <c r="G194" s="3" t="str">
        <f>IFERROR(__xludf.DUMMYFUNCTION("""COMPUTED_VALUE"""),"Instagram")</f>
        <v>Instagram</v>
      </c>
      <c r="H194" s="3">
        <f>IFERROR(__xludf.DUMMYFUNCTION("""COMPUTED_VALUE"""),2.0221025E7)</f>
        <v>20221025</v>
      </c>
      <c r="I194" s="3" t="str">
        <f>IFERROR(__xludf.DUMMYFUNCTION("""COMPUTED_VALUE"""),"visitudaipur")</f>
        <v>visitudaipur</v>
      </c>
      <c r="J194" s="3">
        <f>IFERROR(__xludf.DUMMYFUNCTION("""COMPUTED_VALUE"""),4565.0)</f>
        <v>4565</v>
      </c>
      <c r="K194" s="3" t="str">
        <f t="shared" ref="K194:L194" si="198">TRIM(F194)</f>
        <v>VfS</v>
      </c>
      <c r="L194" s="3" t="str">
        <f t="shared" si="198"/>
        <v>Instagram</v>
      </c>
      <c r="M194" s="3" t="str">
        <f t="shared" si="3"/>
        <v>Instagram</v>
      </c>
      <c r="N194" s="3" t="str">
        <f>IFERROR(__xludf.DUMMYFUNCTION("SPLIT(M194,""&amp;"")"),"Instagram")</f>
        <v>Instagram</v>
      </c>
      <c r="O194" s="3" t="str">
        <f t="shared" si="4"/>
        <v>Instagram</v>
      </c>
      <c r="P194" s="3" t="str">
        <f t="shared" si="5"/>
        <v>visitudaipur</v>
      </c>
      <c r="Q194" s="3" t="str">
        <f t="shared" si="6"/>
        <v>Visitudaipur</v>
      </c>
      <c r="R194" s="3">
        <f t="shared" si="7"/>
        <v>4565</v>
      </c>
    </row>
    <row r="195">
      <c r="A195" s="7" t="s">
        <v>140</v>
      </c>
      <c r="B195" s="8" t="s">
        <v>6</v>
      </c>
      <c r="C195" s="8">
        <v>68900.0</v>
      </c>
      <c r="E195" s="3" t="str">
        <f>IFERROR(__xludf.DUMMYFUNCTION("SPLIT(A195,""|"")")," VIN/OfflINe &amp;/20221028/Visitjodhpur/4566 ")</f>
        <v> VIN/OfflINe &amp;/20221028/Visitjodhpur/4566 </v>
      </c>
      <c r="F195" s="3" t="str">
        <f>IFERROR(__xludf.DUMMYFUNCTION("SPLIT(E195,""/"")")," VIN")</f>
        <v> VIN</v>
      </c>
      <c r="G195" s="3" t="str">
        <f>IFERROR(__xludf.DUMMYFUNCTION("""COMPUTED_VALUE"""),"OfflINe &amp;")</f>
        <v>OfflINe &amp;</v>
      </c>
      <c r="H195" s="3">
        <f>IFERROR(__xludf.DUMMYFUNCTION("""COMPUTED_VALUE"""),2.0221028E7)</f>
        <v>20221028</v>
      </c>
      <c r="I195" s="3" t="str">
        <f>IFERROR(__xludf.DUMMYFUNCTION("""COMPUTED_VALUE"""),"Visitjodhpur")</f>
        <v>Visitjodhpur</v>
      </c>
      <c r="J195" s="3">
        <f>IFERROR(__xludf.DUMMYFUNCTION("""COMPUTED_VALUE"""),4566.0)</f>
        <v>4566</v>
      </c>
      <c r="K195" s="3" t="str">
        <f t="shared" ref="K195:L195" si="199">TRIM(F195)</f>
        <v>VIN</v>
      </c>
      <c r="L195" s="3" t="str">
        <f t="shared" si="199"/>
        <v>OfflINe &amp;</v>
      </c>
      <c r="M195" s="3" t="str">
        <f t="shared" si="3"/>
        <v>Offline &amp;</v>
      </c>
      <c r="N195" s="3" t="str">
        <f>IFERROR(__xludf.DUMMYFUNCTION("SPLIT(M195,""&amp;"")"),"Offline ")</f>
        <v>Offline </v>
      </c>
      <c r="O195" s="3" t="str">
        <f t="shared" si="4"/>
        <v>Offline</v>
      </c>
      <c r="P195" s="3" t="str">
        <f t="shared" si="5"/>
        <v>Visitjodhpur</v>
      </c>
      <c r="Q195" s="3" t="str">
        <f t="shared" si="6"/>
        <v>Visitjodhpur</v>
      </c>
      <c r="R195" s="3">
        <f t="shared" si="7"/>
        <v>4566</v>
      </c>
    </row>
    <row r="196">
      <c r="A196" s="7" t="s">
        <v>141</v>
      </c>
      <c r="B196" s="8" t="s">
        <v>19</v>
      </c>
      <c r="C196" s="8">
        <v>44800.0</v>
      </c>
      <c r="E196" s="3" t="str">
        <f>IFERROR(__xludf.DUMMYFUNCTION("SPLIT(A196,""|"")")," CHQ/Facebook/20221101/Visitjaipur/5676 ")</f>
        <v> CHQ/Facebook/20221101/Visitjaipur/5676 </v>
      </c>
      <c r="F196" s="3" t="str">
        <f>IFERROR(__xludf.DUMMYFUNCTION("SPLIT(E196,""/"")")," CHQ")</f>
        <v> CHQ</v>
      </c>
      <c r="G196" s="3" t="str">
        <f>IFERROR(__xludf.DUMMYFUNCTION("""COMPUTED_VALUE"""),"Facebook")</f>
        <v>Facebook</v>
      </c>
      <c r="H196" s="3">
        <f>IFERROR(__xludf.DUMMYFUNCTION("""COMPUTED_VALUE"""),2.0221101E7)</f>
        <v>20221101</v>
      </c>
      <c r="I196" s="3" t="str">
        <f>IFERROR(__xludf.DUMMYFUNCTION("""COMPUTED_VALUE"""),"Visitjaipur")</f>
        <v>Visitjaipur</v>
      </c>
      <c r="J196" s="3">
        <f>IFERROR(__xludf.DUMMYFUNCTION("""COMPUTED_VALUE"""),5676.0)</f>
        <v>5676</v>
      </c>
      <c r="K196" s="3" t="str">
        <f t="shared" ref="K196:L196" si="200">TRIM(F196)</f>
        <v>CHQ</v>
      </c>
      <c r="L196" s="3" t="str">
        <f t="shared" si="200"/>
        <v>Facebook</v>
      </c>
      <c r="M196" s="3" t="str">
        <f t="shared" si="3"/>
        <v>Facebook</v>
      </c>
      <c r="N196" s="3" t="str">
        <f>IFERROR(__xludf.DUMMYFUNCTION("SPLIT(M196,""&amp;"")"),"Facebook")</f>
        <v>Facebook</v>
      </c>
      <c r="O196" s="3" t="str">
        <f t="shared" si="4"/>
        <v>Facebook</v>
      </c>
      <c r="P196" s="3" t="str">
        <f t="shared" si="5"/>
        <v>Visitjaipur</v>
      </c>
      <c r="Q196" s="3" t="str">
        <f t="shared" si="6"/>
        <v>Visitjaipur</v>
      </c>
      <c r="R196" s="3">
        <f t="shared" si="7"/>
        <v>5676</v>
      </c>
    </row>
    <row r="197">
      <c r="A197" s="7" t="s">
        <v>142</v>
      </c>
      <c r="B197" s="8" t="s">
        <v>19</v>
      </c>
      <c r="C197" s="8">
        <v>59400.0</v>
      </c>
      <c r="E197" s="3" t="str">
        <f>IFERROR(__xludf.DUMMYFUNCTION("SPLIT(A197,""|"")")," VfS/YouTube/20221104/Visitrajasthan/4564 ")</f>
        <v> VfS/YouTube/20221104/Visitrajasthan/4564 </v>
      </c>
      <c r="F197" s="3" t="str">
        <f>IFERROR(__xludf.DUMMYFUNCTION("SPLIT(E197,""/"")")," VfS")</f>
        <v> VfS</v>
      </c>
      <c r="G197" s="3" t="str">
        <f>IFERROR(__xludf.DUMMYFUNCTION("""COMPUTED_VALUE"""),"YouTube")</f>
        <v>YouTube</v>
      </c>
      <c r="H197" s="3">
        <f>IFERROR(__xludf.DUMMYFUNCTION("""COMPUTED_VALUE"""),2.0221104E7)</f>
        <v>20221104</v>
      </c>
      <c r="I197" s="3" t="str">
        <f>IFERROR(__xludf.DUMMYFUNCTION("""COMPUTED_VALUE"""),"Visitrajasthan")</f>
        <v>Visitrajasthan</v>
      </c>
      <c r="J197" s="3">
        <f>IFERROR(__xludf.DUMMYFUNCTION("""COMPUTED_VALUE"""),4564.0)</f>
        <v>4564</v>
      </c>
      <c r="K197" s="3" t="str">
        <f t="shared" ref="K197:L197" si="201">TRIM(F197)</f>
        <v>VfS</v>
      </c>
      <c r="L197" s="3" t="str">
        <f t="shared" si="201"/>
        <v>YouTube</v>
      </c>
      <c r="M197" s="3" t="str">
        <f t="shared" si="3"/>
        <v>Youtube</v>
      </c>
      <c r="N197" s="3" t="str">
        <f>IFERROR(__xludf.DUMMYFUNCTION("SPLIT(M197,""&amp;"")"),"Youtube")</f>
        <v>Youtube</v>
      </c>
      <c r="O197" s="3" t="str">
        <f t="shared" si="4"/>
        <v>Youtube</v>
      </c>
      <c r="P197" s="3" t="str">
        <f t="shared" si="5"/>
        <v>Visitrajasthan</v>
      </c>
      <c r="Q197" s="3" t="str">
        <f t="shared" si="6"/>
        <v>Visitrajasthan</v>
      </c>
      <c r="R197" s="3">
        <f t="shared" si="7"/>
        <v>4564</v>
      </c>
    </row>
    <row r="198">
      <c r="A198" s="7" t="s">
        <v>143</v>
      </c>
      <c r="B198" s="8" t="s">
        <v>19</v>
      </c>
      <c r="C198" s="8">
        <v>47600.0</v>
      </c>
      <c r="E198" s="3" t="str">
        <f>IFERROR(__xludf.DUMMYFUNCTION("SPLIT(A198,""|"")")," NEFT/Instagram/20221107/visitudaipur/4565 ")</f>
        <v> NEFT/Instagram/20221107/visitudaipur/4565 </v>
      </c>
      <c r="F198" s="3" t="str">
        <f>IFERROR(__xludf.DUMMYFUNCTION("SPLIT(E198,""/"")")," NEFT")</f>
        <v> NEFT</v>
      </c>
      <c r="G198" s="3" t="str">
        <f>IFERROR(__xludf.DUMMYFUNCTION("""COMPUTED_VALUE"""),"Instagram")</f>
        <v>Instagram</v>
      </c>
      <c r="H198" s="3">
        <f>IFERROR(__xludf.DUMMYFUNCTION("""COMPUTED_VALUE"""),2.0221107E7)</f>
        <v>20221107</v>
      </c>
      <c r="I198" s="3" t="str">
        <f>IFERROR(__xludf.DUMMYFUNCTION("""COMPUTED_VALUE"""),"visitudaipur")</f>
        <v>visitudaipur</v>
      </c>
      <c r="J198" s="3">
        <f>IFERROR(__xludf.DUMMYFUNCTION("""COMPUTED_VALUE"""),4565.0)</f>
        <v>4565</v>
      </c>
      <c r="K198" s="3" t="str">
        <f t="shared" ref="K198:L198" si="202">TRIM(F198)</f>
        <v>NEFT</v>
      </c>
      <c r="L198" s="3" t="str">
        <f t="shared" si="202"/>
        <v>Instagram</v>
      </c>
      <c r="M198" s="3" t="str">
        <f t="shared" si="3"/>
        <v>Instagram</v>
      </c>
      <c r="N198" s="3" t="str">
        <f>IFERROR(__xludf.DUMMYFUNCTION("SPLIT(M198,""&amp;"")"),"Instagram")</f>
        <v>Instagram</v>
      </c>
      <c r="O198" s="3" t="str">
        <f t="shared" si="4"/>
        <v>Instagram</v>
      </c>
      <c r="P198" s="3" t="str">
        <f t="shared" si="5"/>
        <v>visitudaipur</v>
      </c>
      <c r="Q198" s="3" t="str">
        <f t="shared" si="6"/>
        <v>Visitudaipur</v>
      </c>
      <c r="R198" s="3">
        <f t="shared" si="7"/>
        <v>4565</v>
      </c>
    </row>
    <row r="199">
      <c r="A199" s="7" t="s">
        <v>144</v>
      </c>
      <c r="B199" s="8" t="s">
        <v>19</v>
      </c>
      <c r="C199" s="8">
        <v>23800.0</v>
      </c>
      <c r="E199" s="3" t="str">
        <f>IFERROR(__xludf.DUMMYFUNCTION("SPLIT(A199,""|"")")," CHQ/Offline &amp;/20221110/Visitjodhpur/4566 ")</f>
        <v> CHQ/Offline &amp;/20221110/Visitjodhpur/4566 </v>
      </c>
      <c r="F199" s="3" t="str">
        <f>IFERROR(__xludf.DUMMYFUNCTION("SPLIT(E199,""/"")")," CHQ")</f>
        <v> CHQ</v>
      </c>
      <c r="G199" s="3" t="str">
        <f>IFERROR(__xludf.DUMMYFUNCTION("""COMPUTED_VALUE"""),"Offline &amp;")</f>
        <v>Offline &amp;</v>
      </c>
      <c r="H199" s="3">
        <f>IFERROR(__xludf.DUMMYFUNCTION("""COMPUTED_VALUE"""),2.022111E7)</f>
        <v>20221110</v>
      </c>
      <c r="I199" s="3" t="str">
        <f>IFERROR(__xludf.DUMMYFUNCTION("""COMPUTED_VALUE"""),"Visitjodhpur")</f>
        <v>Visitjodhpur</v>
      </c>
      <c r="J199" s="3">
        <f>IFERROR(__xludf.DUMMYFUNCTION("""COMPUTED_VALUE"""),4566.0)</f>
        <v>4566</v>
      </c>
      <c r="K199" s="3" t="str">
        <f t="shared" ref="K199:L199" si="203">TRIM(F199)</f>
        <v>CHQ</v>
      </c>
      <c r="L199" s="3" t="str">
        <f t="shared" si="203"/>
        <v>Offline &amp;</v>
      </c>
      <c r="M199" s="3" t="str">
        <f t="shared" si="3"/>
        <v>Offline &amp;</v>
      </c>
      <c r="N199" s="3" t="str">
        <f>IFERROR(__xludf.DUMMYFUNCTION("SPLIT(M199,""&amp;"")"),"Offline ")</f>
        <v>Offline </v>
      </c>
      <c r="O199" s="3" t="str">
        <f t="shared" si="4"/>
        <v>Offline</v>
      </c>
      <c r="P199" s="3" t="str">
        <f t="shared" si="5"/>
        <v>Visitjodhpur</v>
      </c>
      <c r="Q199" s="3" t="str">
        <f t="shared" si="6"/>
        <v>Visitjodhpur</v>
      </c>
      <c r="R199" s="3">
        <f t="shared" si="7"/>
        <v>4566</v>
      </c>
    </row>
    <row r="200">
      <c r="A200" s="7" t="s">
        <v>145</v>
      </c>
      <c r="B200" s="8" t="s">
        <v>19</v>
      </c>
      <c r="C200" s="8">
        <v>92100.0</v>
      </c>
      <c r="E200" s="3" t="str">
        <f>IFERROR(__xludf.DUMMYFUNCTION("SPLIT(A200,""|"")")," VfS/Google Ads/20221113/visitJaisalmer/3455 ")</f>
        <v> VfS/Google Ads/20221113/visitJaisalmer/3455 </v>
      </c>
      <c r="F200" s="3" t="str">
        <f>IFERROR(__xludf.DUMMYFUNCTION("SPLIT(E200,""/"")")," VfS")</f>
        <v> VfS</v>
      </c>
      <c r="G200" s="3" t="str">
        <f>IFERROR(__xludf.DUMMYFUNCTION("""COMPUTED_VALUE"""),"Google Ads")</f>
        <v>Google Ads</v>
      </c>
      <c r="H200" s="3">
        <f>IFERROR(__xludf.DUMMYFUNCTION("""COMPUTED_VALUE"""),2.0221113E7)</f>
        <v>20221113</v>
      </c>
      <c r="I200" s="3" t="str">
        <f>IFERROR(__xludf.DUMMYFUNCTION("""COMPUTED_VALUE"""),"visitJaisalmer")</f>
        <v>visitJaisalmer</v>
      </c>
      <c r="J200" s="3">
        <f>IFERROR(__xludf.DUMMYFUNCTION("""COMPUTED_VALUE"""),3455.0)</f>
        <v>3455</v>
      </c>
      <c r="K200" s="3" t="str">
        <f t="shared" ref="K200:L200" si="204">TRIM(F200)</f>
        <v>VfS</v>
      </c>
      <c r="L200" s="3" t="str">
        <f t="shared" si="204"/>
        <v>Google Ads</v>
      </c>
      <c r="M200" s="3" t="str">
        <f t="shared" si="3"/>
        <v>Google Ads</v>
      </c>
      <c r="N200" s="3" t="str">
        <f>IFERROR(__xludf.DUMMYFUNCTION("SPLIT(M200,""&amp;"")"),"Google Ads")</f>
        <v>Google Ads</v>
      </c>
      <c r="O200" s="3" t="str">
        <f t="shared" si="4"/>
        <v>Google Ads</v>
      </c>
      <c r="P200" s="3" t="str">
        <f t="shared" si="5"/>
        <v>visitJaisalmer</v>
      </c>
      <c r="Q200" s="3" t="str">
        <f t="shared" si="6"/>
        <v>Visitjaisalmer</v>
      </c>
      <c r="R200" s="3">
        <f t="shared" si="7"/>
        <v>3455</v>
      </c>
    </row>
    <row r="201">
      <c r="A201" s="7" t="s">
        <v>146</v>
      </c>
      <c r="B201" s="8" t="s">
        <v>19</v>
      </c>
      <c r="C201" s="8">
        <v>90900.0</v>
      </c>
      <c r="E201" s="3" t="str">
        <f>IFERROR(__xludf.DUMMYFUNCTION("SPLIT(A201,""|"")")," VIN/TwiTter/20221116/visitbikaner/5666 ")</f>
        <v> VIN/TwiTter/20221116/visitbikaner/5666 </v>
      </c>
      <c r="F201" s="3" t="str">
        <f>IFERROR(__xludf.DUMMYFUNCTION("SPLIT(E201,""/"")")," VIN")</f>
        <v> VIN</v>
      </c>
      <c r="G201" s="3" t="str">
        <f>IFERROR(__xludf.DUMMYFUNCTION("""COMPUTED_VALUE"""),"TwiTter")</f>
        <v>TwiTter</v>
      </c>
      <c r="H201" s="3">
        <f>IFERROR(__xludf.DUMMYFUNCTION("""COMPUTED_VALUE"""),2.0221116E7)</f>
        <v>20221116</v>
      </c>
      <c r="I201" s="3" t="str">
        <f>IFERROR(__xludf.DUMMYFUNCTION("""COMPUTED_VALUE"""),"visitbikaner")</f>
        <v>visitbikaner</v>
      </c>
      <c r="J201" s="3">
        <f>IFERROR(__xludf.DUMMYFUNCTION("""COMPUTED_VALUE"""),5666.0)</f>
        <v>5666</v>
      </c>
      <c r="K201" s="3" t="str">
        <f t="shared" ref="K201:L201" si="205">TRIM(F201)</f>
        <v>VIN</v>
      </c>
      <c r="L201" s="3" t="str">
        <f t="shared" si="205"/>
        <v>TwiTter</v>
      </c>
      <c r="M201" s="3" t="str">
        <f t="shared" si="3"/>
        <v>Twitter</v>
      </c>
      <c r="N201" s="3" t="str">
        <f>IFERROR(__xludf.DUMMYFUNCTION("SPLIT(M201,""&amp;"")"),"Twitter")</f>
        <v>Twitter</v>
      </c>
      <c r="O201" s="3" t="str">
        <f t="shared" si="4"/>
        <v>Twitter</v>
      </c>
      <c r="P201" s="3" t="str">
        <f t="shared" si="5"/>
        <v>visitbikaner</v>
      </c>
      <c r="Q201" s="3" t="str">
        <f t="shared" si="6"/>
        <v>Visitbikaner</v>
      </c>
      <c r="R201" s="3">
        <f t="shared" si="7"/>
        <v>5666</v>
      </c>
    </row>
    <row r="202">
      <c r="A202" s="7" t="s">
        <v>152</v>
      </c>
      <c r="B202" s="8" t="s">
        <v>19</v>
      </c>
      <c r="C202" s="8">
        <v>62400.0</v>
      </c>
      <c r="E202" s="3" t="str">
        <f>IFERROR(__xludf.DUMMYFUNCTION("SPLIT(A202,""|"")")," NEFT/Youtube/20221119/Visitjaipur/5676 ")</f>
        <v> NEFT/Youtube/20221119/Visitjaipur/5676 </v>
      </c>
      <c r="F202" s="3" t="str">
        <f>IFERROR(__xludf.DUMMYFUNCTION("SPLIT(E202,""/"")")," NEFT")</f>
        <v> NEFT</v>
      </c>
      <c r="G202" s="3" t="str">
        <f>IFERROR(__xludf.DUMMYFUNCTION("""COMPUTED_VALUE"""),"Youtube")</f>
        <v>Youtube</v>
      </c>
      <c r="H202" s="3">
        <f>IFERROR(__xludf.DUMMYFUNCTION("""COMPUTED_VALUE"""),2.0221119E7)</f>
        <v>20221119</v>
      </c>
      <c r="I202" s="3" t="str">
        <f>IFERROR(__xludf.DUMMYFUNCTION("""COMPUTED_VALUE"""),"Visitjaipur")</f>
        <v>Visitjaipur</v>
      </c>
      <c r="J202" s="3">
        <f>IFERROR(__xludf.DUMMYFUNCTION("""COMPUTED_VALUE"""),5676.0)</f>
        <v>5676</v>
      </c>
      <c r="K202" s="3" t="str">
        <f t="shared" ref="K202:L202" si="206">TRIM(F202)</f>
        <v>NEFT</v>
      </c>
      <c r="L202" s="3" t="str">
        <f t="shared" si="206"/>
        <v>Youtube</v>
      </c>
      <c r="M202" s="3" t="str">
        <f t="shared" si="3"/>
        <v>Youtube</v>
      </c>
      <c r="N202" s="3" t="str">
        <f>IFERROR(__xludf.DUMMYFUNCTION("SPLIT(M202,""&amp;"")"),"Youtube")</f>
        <v>Youtube</v>
      </c>
      <c r="O202" s="3" t="str">
        <f t="shared" si="4"/>
        <v>Youtube</v>
      </c>
      <c r="P202" s="3" t="str">
        <f t="shared" si="5"/>
        <v>Visitjaipur</v>
      </c>
      <c r="Q202" s="3" t="str">
        <f t="shared" si="6"/>
        <v>Visitjaipur</v>
      </c>
      <c r="R202" s="3">
        <f t="shared" si="7"/>
        <v>5676</v>
      </c>
    </row>
    <row r="203">
      <c r="A203" s="7" t="s">
        <v>148</v>
      </c>
      <c r="B203" s="8" t="s">
        <v>19</v>
      </c>
      <c r="C203" s="8">
        <v>82700.0</v>
      </c>
      <c r="E203" s="3" t="str">
        <f>IFERROR(__xludf.DUMMYFUNCTION("SPLIT(A203,""|"")")," CHQ/YouTube &amp;/20221122/Visitrajasthan/4564 ")</f>
        <v> CHQ/YouTube &amp;/20221122/Visitrajasthan/4564 </v>
      </c>
      <c r="F203" s="3" t="str">
        <f>IFERROR(__xludf.DUMMYFUNCTION("SPLIT(E203,""/"")")," CHQ")</f>
        <v> CHQ</v>
      </c>
      <c r="G203" s="3" t="str">
        <f>IFERROR(__xludf.DUMMYFUNCTION("""COMPUTED_VALUE"""),"YouTube &amp;")</f>
        <v>YouTube &amp;</v>
      </c>
      <c r="H203" s="3">
        <f>IFERROR(__xludf.DUMMYFUNCTION("""COMPUTED_VALUE"""),2.0221122E7)</f>
        <v>20221122</v>
      </c>
      <c r="I203" s="3" t="str">
        <f>IFERROR(__xludf.DUMMYFUNCTION("""COMPUTED_VALUE"""),"Visitrajasthan")</f>
        <v>Visitrajasthan</v>
      </c>
      <c r="J203" s="3">
        <f>IFERROR(__xludf.DUMMYFUNCTION("""COMPUTED_VALUE"""),4564.0)</f>
        <v>4564</v>
      </c>
      <c r="K203" s="3" t="str">
        <f t="shared" ref="K203:L203" si="207">TRIM(F203)</f>
        <v>CHQ</v>
      </c>
      <c r="L203" s="3" t="str">
        <f t="shared" si="207"/>
        <v>YouTube &amp;</v>
      </c>
      <c r="M203" s="3" t="str">
        <f t="shared" si="3"/>
        <v>Youtube &amp;</v>
      </c>
      <c r="N203" s="3" t="str">
        <f>IFERROR(__xludf.DUMMYFUNCTION("SPLIT(M203,""&amp;"")"),"Youtube ")</f>
        <v>Youtube </v>
      </c>
      <c r="O203" s="3" t="str">
        <f t="shared" si="4"/>
        <v>Youtube</v>
      </c>
      <c r="P203" s="3" t="str">
        <f t="shared" si="5"/>
        <v>Visitrajasthan</v>
      </c>
      <c r="Q203" s="3" t="str">
        <f t="shared" si="6"/>
        <v>Visitrajasthan</v>
      </c>
      <c r="R203" s="3">
        <f t="shared" si="7"/>
        <v>4564</v>
      </c>
    </row>
    <row r="204">
      <c r="A204" s="7" t="s">
        <v>149</v>
      </c>
      <c r="B204" s="8" t="s">
        <v>19</v>
      </c>
      <c r="C204" s="8">
        <v>59600.0</v>
      </c>
      <c r="E204" s="3" t="str">
        <f>IFERROR(__xludf.DUMMYFUNCTION("SPLIT(A204,""|"")")," VfS/Instagram/20221125/visitudaipur/4565 ")</f>
        <v> VfS/Instagram/20221125/visitudaipur/4565 </v>
      </c>
      <c r="F204" s="3" t="str">
        <f>IFERROR(__xludf.DUMMYFUNCTION("SPLIT(E204,""/"")")," VfS")</f>
        <v> VfS</v>
      </c>
      <c r="G204" s="3" t="str">
        <f>IFERROR(__xludf.DUMMYFUNCTION("""COMPUTED_VALUE"""),"Instagram")</f>
        <v>Instagram</v>
      </c>
      <c r="H204" s="3">
        <f>IFERROR(__xludf.DUMMYFUNCTION("""COMPUTED_VALUE"""),2.0221125E7)</f>
        <v>20221125</v>
      </c>
      <c r="I204" s="3" t="str">
        <f>IFERROR(__xludf.DUMMYFUNCTION("""COMPUTED_VALUE"""),"visitudaipur")</f>
        <v>visitudaipur</v>
      </c>
      <c r="J204" s="3">
        <f>IFERROR(__xludf.DUMMYFUNCTION("""COMPUTED_VALUE"""),4565.0)</f>
        <v>4565</v>
      </c>
      <c r="K204" s="3" t="str">
        <f t="shared" ref="K204:L204" si="208">TRIM(F204)</f>
        <v>VfS</v>
      </c>
      <c r="L204" s="3" t="str">
        <f t="shared" si="208"/>
        <v>Instagram</v>
      </c>
      <c r="M204" s="3" t="str">
        <f t="shared" si="3"/>
        <v>Instagram</v>
      </c>
      <c r="N204" s="3" t="str">
        <f>IFERROR(__xludf.DUMMYFUNCTION("SPLIT(M204,""&amp;"")"),"Instagram")</f>
        <v>Instagram</v>
      </c>
      <c r="O204" s="3" t="str">
        <f t="shared" si="4"/>
        <v>Instagram</v>
      </c>
      <c r="P204" s="3" t="str">
        <f t="shared" si="5"/>
        <v>visitudaipur</v>
      </c>
      <c r="Q204" s="3" t="str">
        <f t="shared" si="6"/>
        <v>Visitudaipur</v>
      </c>
      <c r="R204" s="3">
        <f t="shared" si="7"/>
        <v>4565</v>
      </c>
    </row>
    <row r="205">
      <c r="A205" s="7" t="s">
        <v>150</v>
      </c>
      <c r="B205" s="8" t="s">
        <v>19</v>
      </c>
      <c r="C205" s="8">
        <v>62600.0</v>
      </c>
      <c r="E205" s="3" t="str">
        <f>IFERROR(__xludf.DUMMYFUNCTION("SPLIT(A205,""|"")")," VIN/OfflINe &amp;/20221128/Visitjodhpur/4566 ")</f>
        <v> VIN/OfflINe &amp;/20221128/Visitjodhpur/4566 </v>
      </c>
      <c r="F205" s="3" t="str">
        <f>IFERROR(__xludf.DUMMYFUNCTION("SPLIT(E205,""/"")")," VIN")</f>
        <v> VIN</v>
      </c>
      <c r="G205" s="3" t="str">
        <f>IFERROR(__xludf.DUMMYFUNCTION("""COMPUTED_VALUE"""),"OfflINe &amp;")</f>
        <v>OfflINe &amp;</v>
      </c>
      <c r="H205" s="3">
        <f>IFERROR(__xludf.DUMMYFUNCTION("""COMPUTED_VALUE"""),2.0221128E7)</f>
        <v>20221128</v>
      </c>
      <c r="I205" s="3" t="str">
        <f>IFERROR(__xludf.DUMMYFUNCTION("""COMPUTED_VALUE"""),"Visitjodhpur")</f>
        <v>Visitjodhpur</v>
      </c>
      <c r="J205" s="3">
        <f>IFERROR(__xludf.DUMMYFUNCTION("""COMPUTED_VALUE"""),4566.0)</f>
        <v>4566</v>
      </c>
      <c r="K205" s="3" t="str">
        <f t="shared" ref="K205:L205" si="209">TRIM(F205)</f>
        <v>VIN</v>
      </c>
      <c r="L205" s="3" t="str">
        <f t="shared" si="209"/>
        <v>OfflINe &amp;</v>
      </c>
      <c r="M205" s="3" t="str">
        <f t="shared" si="3"/>
        <v>Offline &amp;</v>
      </c>
      <c r="N205" s="3" t="str">
        <f>IFERROR(__xludf.DUMMYFUNCTION("SPLIT(M205,""&amp;"")"),"Offline ")</f>
        <v>Offline </v>
      </c>
      <c r="O205" s="3" t="str">
        <f t="shared" si="4"/>
        <v>Offline</v>
      </c>
      <c r="P205" s="3" t="str">
        <f t="shared" si="5"/>
        <v>Visitjodhpur</v>
      </c>
      <c r="Q205" s="3" t="str">
        <f t="shared" si="6"/>
        <v>Visitjodhpur</v>
      </c>
      <c r="R205" s="3">
        <f t="shared" si="7"/>
        <v>4566</v>
      </c>
    </row>
    <row r="206">
      <c r="A206" s="7" t="s">
        <v>121</v>
      </c>
      <c r="B206" s="8" t="s">
        <v>20</v>
      </c>
      <c r="C206" s="8">
        <v>79200.0</v>
      </c>
      <c r="E206" s="3" t="str">
        <f>IFERROR(__xludf.DUMMYFUNCTION("SPLIT(A206,""|"")")," CHQ/Facebook/20221201/Visitjaipur/5676 ")</f>
        <v> CHQ/Facebook/20221201/Visitjaipur/5676 </v>
      </c>
      <c r="F206" s="3" t="str">
        <f>IFERROR(__xludf.DUMMYFUNCTION("SPLIT(E206,""/"")")," CHQ")</f>
        <v> CHQ</v>
      </c>
      <c r="G206" s="3" t="str">
        <f>IFERROR(__xludf.DUMMYFUNCTION("""COMPUTED_VALUE"""),"Facebook")</f>
        <v>Facebook</v>
      </c>
      <c r="H206" s="3">
        <f>IFERROR(__xludf.DUMMYFUNCTION("""COMPUTED_VALUE"""),2.0221201E7)</f>
        <v>20221201</v>
      </c>
      <c r="I206" s="3" t="str">
        <f>IFERROR(__xludf.DUMMYFUNCTION("""COMPUTED_VALUE"""),"Visitjaipur")</f>
        <v>Visitjaipur</v>
      </c>
      <c r="J206" s="3">
        <f>IFERROR(__xludf.DUMMYFUNCTION("""COMPUTED_VALUE"""),5676.0)</f>
        <v>5676</v>
      </c>
      <c r="K206" s="3" t="str">
        <f t="shared" ref="K206:L206" si="210">TRIM(F206)</f>
        <v>CHQ</v>
      </c>
      <c r="L206" s="3" t="str">
        <f t="shared" si="210"/>
        <v>Facebook</v>
      </c>
      <c r="M206" s="3" t="str">
        <f t="shared" si="3"/>
        <v>Facebook</v>
      </c>
      <c r="N206" s="3" t="str">
        <f>IFERROR(__xludf.DUMMYFUNCTION("SPLIT(M206,""&amp;"")"),"Facebook")</f>
        <v>Facebook</v>
      </c>
      <c r="O206" s="3" t="str">
        <f t="shared" si="4"/>
        <v>Facebook</v>
      </c>
      <c r="P206" s="3" t="str">
        <f t="shared" si="5"/>
        <v>Visitjaipur</v>
      </c>
      <c r="Q206" s="3" t="str">
        <f t="shared" si="6"/>
        <v>Visitjaipur</v>
      </c>
      <c r="R206" s="3">
        <f t="shared" si="7"/>
        <v>5676</v>
      </c>
    </row>
    <row r="207">
      <c r="A207" s="7" t="s">
        <v>122</v>
      </c>
      <c r="B207" s="8" t="s">
        <v>20</v>
      </c>
      <c r="C207" s="8">
        <v>61800.0</v>
      </c>
      <c r="E207" s="3" t="str">
        <f>IFERROR(__xludf.DUMMYFUNCTION("SPLIT(A207,""|"")")," VfS/YouTube/20221204/Visitrajasthan/4564 ")</f>
        <v> VfS/YouTube/20221204/Visitrajasthan/4564 </v>
      </c>
      <c r="F207" s="3" t="str">
        <f>IFERROR(__xludf.DUMMYFUNCTION("SPLIT(E207,""/"")")," VfS")</f>
        <v> VfS</v>
      </c>
      <c r="G207" s="3" t="str">
        <f>IFERROR(__xludf.DUMMYFUNCTION("""COMPUTED_VALUE"""),"YouTube")</f>
        <v>YouTube</v>
      </c>
      <c r="H207" s="3">
        <f>IFERROR(__xludf.DUMMYFUNCTION("""COMPUTED_VALUE"""),2.0221204E7)</f>
        <v>20221204</v>
      </c>
      <c r="I207" s="3" t="str">
        <f>IFERROR(__xludf.DUMMYFUNCTION("""COMPUTED_VALUE"""),"Visitrajasthan")</f>
        <v>Visitrajasthan</v>
      </c>
      <c r="J207" s="3">
        <f>IFERROR(__xludf.DUMMYFUNCTION("""COMPUTED_VALUE"""),4564.0)</f>
        <v>4564</v>
      </c>
      <c r="K207" s="3" t="str">
        <f t="shared" ref="K207:L207" si="211">TRIM(F207)</f>
        <v>VfS</v>
      </c>
      <c r="L207" s="3" t="str">
        <f t="shared" si="211"/>
        <v>YouTube</v>
      </c>
      <c r="M207" s="3" t="str">
        <f t="shared" si="3"/>
        <v>Youtube</v>
      </c>
      <c r="N207" s="3" t="str">
        <f>IFERROR(__xludf.DUMMYFUNCTION("SPLIT(M207,""&amp;"")"),"Youtube")</f>
        <v>Youtube</v>
      </c>
      <c r="O207" s="3" t="str">
        <f t="shared" si="4"/>
        <v>Youtube</v>
      </c>
      <c r="P207" s="3" t="str">
        <f t="shared" si="5"/>
        <v>Visitrajasthan</v>
      </c>
      <c r="Q207" s="3" t="str">
        <f t="shared" si="6"/>
        <v>Visitrajasthan</v>
      </c>
      <c r="R207" s="3">
        <f t="shared" si="7"/>
        <v>4564</v>
      </c>
    </row>
    <row r="208">
      <c r="A208" s="7" t="s">
        <v>123</v>
      </c>
      <c r="B208" s="8" t="s">
        <v>20</v>
      </c>
      <c r="C208" s="8">
        <v>79200.0</v>
      </c>
      <c r="E208" s="3" t="str">
        <f>IFERROR(__xludf.DUMMYFUNCTION("SPLIT(A208,""|"")")," NEFT/Instagram/20221207/visitudaipur/4565 ")</f>
        <v> NEFT/Instagram/20221207/visitudaipur/4565 </v>
      </c>
      <c r="F208" s="3" t="str">
        <f>IFERROR(__xludf.DUMMYFUNCTION("SPLIT(E208,""/"")")," NEFT")</f>
        <v> NEFT</v>
      </c>
      <c r="G208" s="3" t="str">
        <f>IFERROR(__xludf.DUMMYFUNCTION("""COMPUTED_VALUE"""),"Instagram")</f>
        <v>Instagram</v>
      </c>
      <c r="H208" s="3">
        <f>IFERROR(__xludf.DUMMYFUNCTION("""COMPUTED_VALUE"""),2.0221207E7)</f>
        <v>20221207</v>
      </c>
      <c r="I208" s="3" t="str">
        <f>IFERROR(__xludf.DUMMYFUNCTION("""COMPUTED_VALUE"""),"visitudaipur")</f>
        <v>visitudaipur</v>
      </c>
      <c r="J208" s="3">
        <f>IFERROR(__xludf.DUMMYFUNCTION("""COMPUTED_VALUE"""),4565.0)</f>
        <v>4565</v>
      </c>
      <c r="K208" s="3" t="str">
        <f t="shared" ref="K208:L208" si="212">TRIM(F208)</f>
        <v>NEFT</v>
      </c>
      <c r="L208" s="3" t="str">
        <f t="shared" si="212"/>
        <v>Instagram</v>
      </c>
      <c r="M208" s="3" t="str">
        <f t="shared" si="3"/>
        <v>Instagram</v>
      </c>
      <c r="N208" s="3" t="str">
        <f>IFERROR(__xludf.DUMMYFUNCTION("SPLIT(M208,""&amp;"")"),"Instagram")</f>
        <v>Instagram</v>
      </c>
      <c r="O208" s="3" t="str">
        <f t="shared" si="4"/>
        <v>Instagram</v>
      </c>
      <c r="P208" s="3" t="str">
        <f t="shared" si="5"/>
        <v>visitudaipur</v>
      </c>
      <c r="Q208" s="3" t="str">
        <f t="shared" si="6"/>
        <v>Visitudaipur</v>
      </c>
      <c r="R208" s="3">
        <f t="shared" si="7"/>
        <v>4565</v>
      </c>
    </row>
    <row r="209">
      <c r="A209" s="7" t="s">
        <v>124</v>
      </c>
      <c r="B209" s="8" t="s">
        <v>20</v>
      </c>
      <c r="C209" s="8">
        <v>33100.0</v>
      </c>
      <c r="E209" s="3" t="str">
        <f>IFERROR(__xludf.DUMMYFUNCTION("SPLIT(A209,""|"")")," CHQ/Offline &amp;/20221210/Visitjodhpur/4566 ")</f>
        <v> CHQ/Offline &amp;/20221210/Visitjodhpur/4566 </v>
      </c>
      <c r="F209" s="3" t="str">
        <f>IFERROR(__xludf.DUMMYFUNCTION("SPLIT(E209,""/"")")," CHQ")</f>
        <v> CHQ</v>
      </c>
      <c r="G209" s="3" t="str">
        <f>IFERROR(__xludf.DUMMYFUNCTION("""COMPUTED_VALUE"""),"Offline &amp;")</f>
        <v>Offline &amp;</v>
      </c>
      <c r="H209" s="3">
        <f>IFERROR(__xludf.DUMMYFUNCTION("""COMPUTED_VALUE"""),2.022121E7)</f>
        <v>20221210</v>
      </c>
      <c r="I209" s="3" t="str">
        <f>IFERROR(__xludf.DUMMYFUNCTION("""COMPUTED_VALUE"""),"Visitjodhpur")</f>
        <v>Visitjodhpur</v>
      </c>
      <c r="J209" s="3">
        <f>IFERROR(__xludf.DUMMYFUNCTION("""COMPUTED_VALUE"""),4566.0)</f>
        <v>4566</v>
      </c>
      <c r="K209" s="3" t="str">
        <f t="shared" ref="K209:L209" si="213">TRIM(F209)</f>
        <v>CHQ</v>
      </c>
      <c r="L209" s="3" t="str">
        <f t="shared" si="213"/>
        <v>Offline &amp;</v>
      </c>
      <c r="M209" s="3" t="str">
        <f t="shared" si="3"/>
        <v>Offline &amp;</v>
      </c>
      <c r="N209" s="3" t="str">
        <f>IFERROR(__xludf.DUMMYFUNCTION("SPLIT(M209,""&amp;"")"),"Offline ")</f>
        <v>Offline </v>
      </c>
      <c r="O209" s="3" t="str">
        <f t="shared" si="4"/>
        <v>Offline</v>
      </c>
      <c r="P209" s="3" t="str">
        <f t="shared" si="5"/>
        <v>Visitjodhpur</v>
      </c>
      <c r="Q209" s="3" t="str">
        <f t="shared" si="6"/>
        <v>Visitjodhpur</v>
      </c>
      <c r="R209" s="3">
        <f t="shared" si="7"/>
        <v>4566</v>
      </c>
    </row>
    <row r="210">
      <c r="A210" s="7" t="s">
        <v>125</v>
      </c>
      <c r="B210" s="8" t="s">
        <v>20</v>
      </c>
      <c r="C210" s="8">
        <v>98600.0</v>
      </c>
      <c r="E210" s="3" t="str">
        <f>IFERROR(__xludf.DUMMYFUNCTION("SPLIT(A210,""|"")")," VfS/Google Ads/20221213/visitJaisalmer/3455 ")</f>
        <v> VfS/Google Ads/20221213/visitJaisalmer/3455 </v>
      </c>
      <c r="F210" s="3" t="str">
        <f>IFERROR(__xludf.DUMMYFUNCTION("SPLIT(E210,""/"")")," VfS")</f>
        <v> VfS</v>
      </c>
      <c r="G210" s="3" t="str">
        <f>IFERROR(__xludf.DUMMYFUNCTION("""COMPUTED_VALUE"""),"Google Ads")</f>
        <v>Google Ads</v>
      </c>
      <c r="H210" s="3">
        <f>IFERROR(__xludf.DUMMYFUNCTION("""COMPUTED_VALUE"""),2.0221213E7)</f>
        <v>20221213</v>
      </c>
      <c r="I210" s="3" t="str">
        <f>IFERROR(__xludf.DUMMYFUNCTION("""COMPUTED_VALUE"""),"visitJaisalmer")</f>
        <v>visitJaisalmer</v>
      </c>
      <c r="J210" s="3">
        <f>IFERROR(__xludf.DUMMYFUNCTION("""COMPUTED_VALUE"""),3455.0)</f>
        <v>3455</v>
      </c>
      <c r="K210" s="3" t="str">
        <f t="shared" ref="K210:L210" si="214">TRIM(F210)</f>
        <v>VfS</v>
      </c>
      <c r="L210" s="3" t="str">
        <f t="shared" si="214"/>
        <v>Google Ads</v>
      </c>
      <c r="M210" s="3" t="str">
        <f t="shared" si="3"/>
        <v>Google Ads</v>
      </c>
      <c r="N210" s="3" t="str">
        <f>IFERROR(__xludf.DUMMYFUNCTION("SPLIT(M210,""&amp;"")"),"Google Ads")</f>
        <v>Google Ads</v>
      </c>
      <c r="O210" s="3" t="str">
        <f t="shared" si="4"/>
        <v>Google Ads</v>
      </c>
      <c r="P210" s="3" t="str">
        <f t="shared" si="5"/>
        <v>visitJaisalmer</v>
      </c>
      <c r="Q210" s="3" t="str">
        <f t="shared" si="6"/>
        <v>Visitjaisalmer</v>
      </c>
      <c r="R210" s="3">
        <f t="shared" si="7"/>
        <v>3455</v>
      </c>
    </row>
    <row r="211">
      <c r="A211" s="7" t="s">
        <v>126</v>
      </c>
      <c r="B211" s="8" t="s">
        <v>20</v>
      </c>
      <c r="C211" s="8">
        <v>81500.0</v>
      </c>
      <c r="E211" s="3" t="str">
        <f>IFERROR(__xludf.DUMMYFUNCTION("SPLIT(A211,""|"")")," VIN/TwiTter/20221216/visitbikaner/5666 ")</f>
        <v> VIN/TwiTter/20221216/visitbikaner/5666 </v>
      </c>
      <c r="F211" s="3" t="str">
        <f>IFERROR(__xludf.DUMMYFUNCTION("SPLIT(E211,""/"")")," VIN")</f>
        <v> VIN</v>
      </c>
      <c r="G211" s="3" t="str">
        <f>IFERROR(__xludf.DUMMYFUNCTION("""COMPUTED_VALUE"""),"TwiTter")</f>
        <v>TwiTter</v>
      </c>
      <c r="H211" s="3">
        <f>IFERROR(__xludf.DUMMYFUNCTION("""COMPUTED_VALUE"""),2.0221216E7)</f>
        <v>20221216</v>
      </c>
      <c r="I211" s="3" t="str">
        <f>IFERROR(__xludf.DUMMYFUNCTION("""COMPUTED_VALUE"""),"visitbikaner")</f>
        <v>visitbikaner</v>
      </c>
      <c r="J211" s="3">
        <f>IFERROR(__xludf.DUMMYFUNCTION("""COMPUTED_VALUE"""),5666.0)</f>
        <v>5666</v>
      </c>
      <c r="K211" s="3" t="str">
        <f t="shared" ref="K211:L211" si="215">TRIM(F211)</f>
        <v>VIN</v>
      </c>
      <c r="L211" s="3" t="str">
        <f t="shared" si="215"/>
        <v>TwiTter</v>
      </c>
      <c r="M211" s="3" t="str">
        <f t="shared" si="3"/>
        <v>Twitter</v>
      </c>
      <c r="N211" s="3" t="str">
        <f>IFERROR(__xludf.DUMMYFUNCTION("SPLIT(M211,""&amp;"")"),"Twitter")</f>
        <v>Twitter</v>
      </c>
      <c r="O211" s="3" t="str">
        <f t="shared" si="4"/>
        <v>Twitter</v>
      </c>
      <c r="P211" s="3" t="str">
        <f t="shared" si="5"/>
        <v>visitbikaner</v>
      </c>
      <c r="Q211" s="3" t="str">
        <f t="shared" si="6"/>
        <v>Visitbikaner</v>
      </c>
      <c r="R211" s="3">
        <f t="shared" si="7"/>
        <v>5666</v>
      </c>
    </row>
    <row r="212">
      <c r="A212" s="7" t="s">
        <v>127</v>
      </c>
      <c r="B212" s="8" t="s">
        <v>20</v>
      </c>
      <c r="C212" s="8">
        <v>44600.0</v>
      </c>
      <c r="E212" s="3" t="str">
        <f>IFERROR(__xludf.DUMMYFUNCTION("SPLIT(A212,""|"")")," NEFT/Facebook/20221219/Visitjaipur/5676 ")</f>
        <v> NEFT/Facebook/20221219/Visitjaipur/5676 </v>
      </c>
      <c r="F212" s="3" t="str">
        <f>IFERROR(__xludf.DUMMYFUNCTION("SPLIT(E212,""/"")")," NEFT")</f>
        <v> NEFT</v>
      </c>
      <c r="G212" s="3" t="str">
        <f>IFERROR(__xludf.DUMMYFUNCTION("""COMPUTED_VALUE"""),"Facebook")</f>
        <v>Facebook</v>
      </c>
      <c r="H212" s="3">
        <f>IFERROR(__xludf.DUMMYFUNCTION("""COMPUTED_VALUE"""),2.0221219E7)</f>
        <v>20221219</v>
      </c>
      <c r="I212" s="3" t="str">
        <f>IFERROR(__xludf.DUMMYFUNCTION("""COMPUTED_VALUE"""),"Visitjaipur")</f>
        <v>Visitjaipur</v>
      </c>
      <c r="J212" s="3">
        <f>IFERROR(__xludf.DUMMYFUNCTION("""COMPUTED_VALUE"""),5676.0)</f>
        <v>5676</v>
      </c>
      <c r="K212" s="3" t="str">
        <f t="shared" ref="K212:L212" si="216">TRIM(F212)</f>
        <v>NEFT</v>
      </c>
      <c r="L212" s="3" t="str">
        <f t="shared" si="216"/>
        <v>Facebook</v>
      </c>
      <c r="M212" s="3" t="str">
        <f t="shared" si="3"/>
        <v>Facebook</v>
      </c>
      <c r="N212" s="3" t="str">
        <f>IFERROR(__xludf.DUMMYFUNCTION("SPLIT(M212,""&amp;"")"),"Facebook")</f>
        <v>Facebook</v>
      </c>
      <c r="O212" s="3" t="str">
        <f t="shared" si="4"/>
        <v>Facebook</v>
      </c>
      <c r="P212" s="3" t="str">
        <f t="shared" si="5"/>
        <v>Visitjaipur</v>
      </c>
      <c r="Q212" s="3" t="str">
        <f t="shared" si="6"/>
        <v>Visitjaipur</v>
      </c>
      <c r="R212" s="3">
        <f t="shared" si="7"/>
        <v>5676</v>
      </c>
    </row>
    <row r="213">
      <c r="A213" s="7" t="s">
        <v>128</v>
      </c>
      <c r="B213" s="8" t="s">
        <v>20</v>
      </c>
      <c r="C213" s="8">
        <v>95000.0</v>
      </c>
      <c r="E213" s="3" t="str">
        <f>IFERROR(__xludf.DUMMYFUNCTION("SPLIT(A213,""|"")")," CHQ/YouTube &amp;/20221222/Visitrajasthan/4564 ")</f>
        <v> CHQ/YouTube &amp;/20221222/Visitrajasthan/4564 </v>
      </c>
      <c r="F213" s="3" t="str">
        <f>IFERROR(__xludf.DUMMYFUNCTION("SPLIT(E213,""/"")")," CHQ")</f>
        <v> CHQ</v>
      </c>
      <c r="G213" s="3" t="str">
        <f>IFERROR(__xludf.DUMMYFUNCTION("""COMPUTED_VALUE"""),"YouTube &amp;")</f>
        <v>YouTube &amp;</v>
      </c>
      <c r="H213" s="3">
        <f>IFERROR(__xludf.DUMMYFUNCTION("""COMPUTED_VALUE"""),2.0221222E7)</f>
        <v>20221222</v>
      </c>
      <c r="I213" s="3" t="str">
        <f>IFERROR(__xludf.DUMMYFUNCTION("""COMPUTED_VALUE"""),"Visitrajasthan")</f>
        <v>Visitrajasthan</v>
      </c>
      <c r="J213" s="3">
        <f>IFERROR(__xludf.DUMMYFUNCTION("""COMPUTED_VALUE"""),4564.0)</f>
        <v>4564</v>
      </c>
      <c r="K213" s="3" t="str">
        <f t="shared" ref="K213:L213" si="217">TRIM(F213)</f>
        <v>CHQ</v>
      </c>
      <c r="L213" s="3" t="str">
        <f t="shared" si="217"/>
        <v>YouTube &amp;</v>
      </c>
      <c r="M213" s="3" t="str">
        <f t="shared" si="3"/>
        <v>Youtube &amp;</v>
      </c>
      <c r="N213" s="3" t="str">
        <f>IFERROR(__xludf.DUMMYFUNCTION("SPLIT(M213,""&amp;"")"),"Youtube ")</f>
        <v>Youtube </v>
      </c>
      <c r="O213" s="3" t="str">
        <f t="shared" si="4"/>
        <v>Youtube</v>
      </c>
      <c r="P213" s="3" t="str">
        <f t="shared" si="5"/>
        <v>Visitrajasthan</v>
      </c>
      <c r="Q213" s="3" t="str">
        <f t="shared" si="6"/>
        <v>Visitrajasthan</v>
      </c>
      <c r="R213" s="3">
        <f t="shared" si="7"/>
        <v>4564</v>
      </c>
    </row>
    <row r="214">
      <c r="A214" s="7" t="s">
        <v>129</v>
      </c>
      <c r="B214" s="8" t="s">
        <v>20</v>
      </c>
      <c r="C214" s="8">
        <v>11600.0</v>
      </c>
      <c r="E214" s="3" t="str">
        <f>IFERROR(__xludf.DUMMYFUNCTION("SPLIT(A214,""|"")")," VfS/Instagram/20221225/visitudaipur/4565 ")</f>
        <v> VfS/Instagram/20221225/visitudaipur/4565 </v>
      </c>
      <c r="F214" s="3" t="str">
        <f>IFERROR(__xludf.DUMMYFUNCTION("SPLIT(E214,""/"")")," VfS")</f>
        <v> VfS</v>
      </c>
      <c r="G214" s="3" t="str">
        <f>IFERROR(__xludf.DUMMYFUNCTION("""COMPUTED_VALUE"""),"Instagram")</f>
        <v>Instagram</v>
      </c>
      <c r="H214" s="3">
        <f>IFERROR(__xludf.DUMMYFUNCTION("""COMPUTED_VALUE"""),2.0221225E7)</f>
        <v>20221225</v>
      </c>
      <c r="I214" s="3" t="str">
        <f>IFERROR(__xludf.DUMMYFUNCTION("""COMPUTED_VALUE"""),"visitudaipur")</f>
        <v>visitudaipur</v>
      </c>
      <c r="J214" s="3">
        <f>IFERROR(__xludf.DUMMYFUNCTION("""COMPUTED_VALUE"""),4565.0)</f>
        <v>4565</v>
      </c>
      <c r="K214" s="3" t="str">
        <f t="shared" ref="K214:L214" si="218">TRIM(F214)</f>
        <v>VfS</v>
      </c>
      <c r="L214" s="3" t="str">
        <f t="shared" si="218"/>
        <v>Instagram</v>
      </c>
      <c r="M214" s="3" t="str">
        <f t="shared" si="3"/>
        <v>Instagram</v>
      </c>
      <c r="N214" s="3" t="str">
        <f>IFERROR(__xludf.DUMMYFUNCTION("SPLIT(M214,""&amp;"")"),"Instagram")</f>
        <v>Instagram</v>
      </c>
      <c r="O214" s="3" t="str">
        <f t="shared" si="4"/>
        <v>Instagram</v>
      </c>
      <c r="P214" s="3" t="str">
        <f t="shared" si="5"/>
        <v>visitudaipur</v>
      </c>
      <c r="Q214" s="3" t="str">
        <f t="shared" si="6"/>
        <v>Visitudaipur</v>
      </c>
      <c r="R214" s="3">
        <f t="shared" si="7"/>
        <v>4565</v>
      </c>
    </row>
    <row r="215">
      <c r="A215" s="7" t="s">
        <v>130</v>
      </c>
      <c r="B215" s="8" t="s">
        <v>20</v>
      </c>
      <c r="C215" s="8">
        <v>24800.0</v>
      </c>
      <c r="E215" s="3" t="str">
        <f>IFERROR(__xludf.DUMMYFUNCTION("SPLIT(A215,""|"")")," VIN/OfflINe &amp;/20221228/Visitjodhpur/4566 ")</f>
        <v> VIN/OfflINe &amp;/20221228/Visitjodhpur/4566 </v>
      </c>
      <c r="F215" s="3" t="str">
        <f>IFERROR(__xludf.DUMMYFUNCTION("SPLIT(E215,""/"")")," VIN")</f>
        <v> VIN</v>
      </c>
      <c r="G215" s="3" t="str">
        <f>IFERROR(__xludf.DUMMYFUNCTION("""COMPUTED_VALUE"""),"OfflINe &amp;")</f>
        <v>OfflINe &amp;</v>
      </c>
      <c r="H215" s="3">
        <f>IFERROR(__xludf.DUMMYFUNCTION("""COMPUTED_VALUE"""),2.0221228E7)</f>
        <v>20221228</v>
      </c>
      <c r="I215" s="3" t="str">
        <f>IFERROR(__xludf.DUMMYFUNCTION("""COMPUTED_VALUE"""),"Visitjodhpur")</f>
        <v>Visitjodhpur</v>
      </c>
      <c r="J215" s="3">
        <f>IFERROR(__xludf.DUMMYFUNCTION("""COMPUTED_VALUE"""),4566.0)</f>
        <v>4566</v>
      </c>
      <c r="K215" s="3" t="str">
        <f t="shared" ref="K215:L215" si="219">TRIM(F215)</f>
        <v>VIN</v>
      </c>
      <c r="L215" s="3" t="str">
        <f t="shared" si="219"/>
        <v>OfflINe &amp;</v>
      </c>
      <c r="M215" s="3" t="str">
        <f t="shared" si="3"/>
        <v>Offline &amp;</v>
      </c>
      <c r="N215" s="3" t="str">
        <f>IFERROR(__xludf.DUMMYFUNCTION("SPLIT(M215,""&amp;"")"),"Offline ")</f>
        <v>Offline </v>
      </c>
      <c r="O215" s="3" t="str">
        <f t="shared" si="4"/>
        <v>Offline</v>
      </c>
      <c r="P215" s="3" t="str">
        <f t="shared" si="5"/>
        <v>Visitjodhpur</v>
      </c>
      <c r="Q215" s="3" t="str">
        <f t="shared" si="6"/>
        <v>Visitjodhpur</v>
      </c>
      <c r="R215" s="3">
        <f t="shared" si="7"/>
        <v>4566</v>
      </c>
    </row>
    <row r="216">
      <c r="A216" s="7" t="s">
        <v>131</v>
      </c>
      <c r="B216" s="8" t="s">
        <v>6</v>
      </c>
      <c r="C216" s="8">
        <v>54000.0</v>
      </c>
      <c r="E216" s="3" t="str">
        <f>IFERROR(__xludf.DUMMYFUNCTION("SPLIT(A216,""|"")")," CHQ/Facebook/20221001/Visitjaipur/5676 ")</f>
        <v> CHQ/Facebook/20221001/Visitjaipur/5676 </v>
      </c>
      <c r="F216" s="3" t="str">
        <f>IFERROR(__xludf.DUMMYFUNCTION("SPLIT(E216,""/"")")," CHQ")</f>
        <v> CHQ</v>
      </c>
      <c r="G216" s="3" t="str">
        <f>IFERROR(__xludf.DUMMYFUNCTION("""COMPUTED_VALUE"""),"Facebook")</f>
        <v>Facebook</v>
      </c>
      <c r="H216" s="3">
        <f>IFERROR(__xludf.DUMMYFUNCTION("""COMPUTED_VALUE"""),2.0221001E7)</f>
        <v>20221001</v>
      </c>
      <c r="I216" s="3" t="str">
        <f>IFERROR(__xludf.DUMMYFUNCTION("""COMPUTED_VALUE"""),"Visitjaipur")</f>
        <v>Visitjaipur</v>
      </c>
      <c r="J216" s="3">
        <f>IFERROR(__xludf.DUMMYFUNCTION("""COMPUTED_VALUE"""),5676.0)</f>
        <v>5676</v>
      </c>
      <c r="K216" s="3" t="str">
        <f t="shared" ref="K216:L216" si="220">TRIM(F216)</f>
        <v>CHQ</v>
      </c>
      <c r="L216" s="3" t="str">
        <f t="shared" si="220"/>
        <v>Facebook</v>
      </c>
      <c r="M216" s="3" t="str">
        <f t="shared" si="3"/>
        <v>Facebook</v>
      </c>
      <c r="N216" s="3" t="str">
        <f>IFERROR(__xludf.DUMMYFUNCTION("SPLIT(M216,""&amp;"")"),"Facebook")</f>
        <v>Facebook</v>
      </c>
      <c r="O216" s="3" t="str">
        <f t="shared" si="4"/>
        <v>Facebook</v>
      </c>
      <c r="P216" s="3" t="str">
        <f t="shared" si="5"/>
        <v>Visitjaipur</v>
      </c>
      <c r="Q216" s="3" t="str">
        <f t="shared" si="6"/>
        <v>Visitjaipur</v>
      </c>
      <c r="R216" s="3">
        <f t="shared" si="7"/>
        <v>5676</v>
      </c>
    </row>
    <row r="217">
      <c r="A217" s="7" t="s">
        <v>132</v>
      </c>
      <c r="B217" s="8" t="s">
        <v>6</v>
      </c>
      <c r="C217" s="8">
        <v>77800.0</v>
      </c>
      <c r="E217" s="3" t="str">
        <f>IFERROR(__xludf.DUMMYFUNCTION("SPLIT(A217,""|"")")," VfS/YouTube/20221004/Visitrajasthan/4564 ")</f>
        <v> VfS/YouTube/20221004/Visitrajasthan/4564 </v>
      </c>
      <c r="F217" s="3" t="str">
        <f>IFERROR(__xludf.DUMMYFUNCTION("SPLIT(E217,""/"")")," VfS")</f>
        <v> VfS</v>
      </c>
      <c r="G217" s="3" t="str">
        <f>IFERROR(__xludf.DUMMYFUNCTION("""COMPUTED_VALUE"""),"YouTube")</f>
        <v>YouTube</v>
      </c>
      <c r="H217" s="3">
        <f>IFERROR(__xludf.DUMMYFUNCTION("""COMPUTED_VALUE"""),2.0221004E7)</f>
        <v>20221004</v>
      </c>
      <c r="I217" s="3" t="str">
        <f>IFERROR(__xludf.DUMMYFUNCTION("""COMPUTED_VALUE"""),"Visitrajasthan")</f>
        <v>Visitrajasthan</v>
      </c>
      <c r="J217" s="3">
        <f>IFERROR(__xludf.DUMMYFUNCTION("""COMPUTED_VALUE"""),4564.0)</f>
        <v>4564</v>
      </c>
      <c r="K217" s="3" t="str">
        <f t="shared" ref="K217:L217" si="221">TRIM(F217)</f>
        <v>VfS</v>
      </c>
      <c r="L217" s="3" t="str">
        <f t="shared" si="221"/>
        <v>YouTube</v>
      </c>
      <c r="M217" s="3" t="str">
        <f t="shared" si="3"/>
        <v>Youtube</v>
      </c>
      <c r="N217" s="3" t="str">
        <f>IFERROR(__xludf.DUMMYFUNCTION("SPLIT(M217,""&amp;"")"),"Youtube")</f>
        <v>Youtube</v>
      </c>
      <c r="O217" s="3" t="str">
        <f t="shared" si="4"/>
        <v>Youtube</v>
      </c>
      <c r="P217" s="3" t="str">
        <f t="shared" si="5"/>
        <v>Visitrajasthan</v>
      </c>
      <c r="Q217" s="3" t="str">
        <f t="shared" si="6"/>
        <v>Visitrajasthan</v>
      </c>
      <c r="R217" s="3">
        <f t="shared" si="7"/>
        <v>4564</v>
      </c>
    </row>
    <row r="218">
      <c r="A218" s="7" t="s">
        <v>133</v>
      </c>
      <c r="B218" s="8" t="s">
        <v>6</v>
      </c>
      <c r="C218" s="8">
        <v>57200.0</v>
      </c>
      <c r="E218" s="3" t="str">
        <f>IFERROR(__xludf.DUMMYFUNCTION("SPLIT(A218,""|"")")," NEFT/Instagram/20221007/visitudaipur/4565 ")</f>
        <v> NEFT/Instagram/20221007/visitudaipur/4565 </v>
      </c>
      <c r="F218" s="3" t="str">
        <f>IFERROR(__xludf.DUMMYFUNCTION("SPLIT(E218,""/"")")," NEFT")</f>
        <v> NEFT</v>
      </c>
      <c r="G218" s="3" t="str">
        <f>IFERROR(__xludf.DUMMYFUNCTION("""COMPUTED_VALUE"""),"Instagram")</f>
        <v>Instagram</v>
      </c>
      <c r="H218" s="3">
        <f>IFERROR(__xludf.DUMMYFUNCTION("""COMPUTED_VALUE"""),2.0221007E7)</f>
        <v>20221007</v>
      </c>
      <c r="I218" s="3" t="str">
        <f>IFERROR(__xludf.DUMMYFUNCTION("""COMPUTED_VALUE"""),"visitudaipur")</f>
        <v>visitudaipur</v>
      </c>
      <c r="J218" s="3">
        <f>IFERROR(__xludf.DUMMYFUNCTION("""COMPUTED_VALUE"""),4565.0)</f>
        <v>4565</v>
      </c>
      <c r="K218" s="3" t="str">
        <f t="shared" ref="K218:L218" si="222">TRIM(F218)</f>
        <v>NEFT</v>
      </c>
      <c r="L218" s="3" t="str">
        <f t="shared" si="222"/>
        <v>Instagram</v>
      </c>
      <c r="M218" s="3" t="str">
        <f t="shared" si="3"/>
        <v>Instagram</v>
      </c>
      <c r="N218" s="3" t="str">
        <f>IFERROR(__xludf.DUMMYFUNCTION("SPLIT(M218,""&amp;"")"),"Instagram")</f>
        <v>Instagram</v>
      </c>
      <c r="O218" s="3" t="str">
        <f t="shared" si="4"/>
        <v>Instagram</v>
      </c>
      <c r="P218" s="3" t="str">
        <f t="shared" si="5"/>
        <v>visitudaipur</v>
      </c>
      <c r="Q218" s="3" t="str">
        <f t="shared" si="6"/>
        <v>Visitudaipur</v>
      </c>
      <c r="R218" s="3">
        <f t="shared" si="7"/>
        <v>4565</v>
      </c>
    </row>
    <row r="219">
      <c r="A219" s="7" t="s">
        <v>134</v>
      </c>
      <c r="B219" s="8" t="s">
        <v>6</v>
      </c>
      <c r="C219" s="8">
        <v>81600.0</v>
      </c>
      <c r="E219" s="3" t="str">
        <f>IFERROR(__xludf.DUMMYFUNCTION("SPLIT(A219,""|"")")," CHQ/Offline &amp;/20221010/Visitjodhpur/4566 ")</f>
        <v> CHQ/Offline &amp;/20221010/Visitjodhpur/4566 </v>
      </c>
      <c r="F219" s="3" t="str">
        <f>IFERROR(__xludf.DUMMYFUNCTION("SPLIT(E219,""/"")")," CHQ")</f>
        <v> CHQ</v>
      </c>
      <c r="G219" s="3" t="str">
        <f>IFERROR(__xludf.DUMMYFUNCTION("""COMPUTED_VALUE"""),"Offline &amp;")</f>
        <v>Offline &amp;</v>
      </c>
      <c r="H219" s="3">
        <f>IFERROR(__xludf.DUMMYFUNCTION("""COMPUTED_VALUE"""),2.022101E7)</f>
        <v>20221010</v>
      </c>
      <c r="I219" s="3" t="str">
        <f>IFERROR(__xludf.DUMMYFUNCTION("""COMPUTED_VALUE"""),"Visitjodhpur")</f>
        <v>Visitjodhpur</v>
      </c>
      <c r="J219" s="3">
        <f>IFERROR(__xludf.DUMMYFUNCTION("""COMPUTED_VALUE"""),4566.0)</f>
        <v>4566</v>
      </c>
      <c r="K219" s="3" t="str">
        <f t="shared" ref="K219:L219" si="223">TRIM(F219)</f>
        <v>CHQ</v>
      </c>
      <c r="L219" s="3" t="str">
        <f t="shared" si="223"/>
        <v>Offline &amp;</v>
      </c>
      <c r="M219" s="3" t="str">
        <f t="shared" si="3"/>
        <v>Offline &amp;</v>
      </c>
      <c r="N219" s="3" t="str">
        <f>IFERROR(__xludf.DUMMYFUNCTION("SPLIT(M219,""&amp;"")"),"Offline ")</f>
        <v>Offline </v>
      </c>
      <c r="O219" s="3" t="str">
        <f t="shared" si="4"/>
        <v>Offline</v>
      </c>
      <c r="P219" s="3" t="str">
        <f t="shared" si="5"/>
        <v>Visitjodhpur</v>
      </c>
      <c r="Q219" s="3" t="str">
        <f t="shared" si="6"/>
        <v>Visitjodhpur</v>
      </c>
      <c r="R219" s="3">
        <f t="shared" si="7"/>
        <v>4566</v>
      </c>
    </row>
    <row r="220">
      <c r="A220" s="7" t="s">
        <v>151</v>
      </c>
      <c r="B220" s="8" t="s">
        <v>6</v>
      </c>
      <c r="C220" s="8">
        <v>14100.0</v>
      </c>
      <c r="E220" s="3" t="str">
        <f>IFERROR(__xludf.DUMMYFUNCTION("SPLIT(A220,""|"")")," VfS/Google Ads/20221013/visitJaisalmer/3455 ")</f>
        <v> VfS/Google Ads/20221013/visitJaisalmer/3455 </v>
      </c>
      <c r="F220" s="3" t="str">
        <f>IFERROR(__xludf.DUMMYFUNCTION("SPLIT(E220,""/"")")," VfS")</f>
        <v> VfS</v>
      </c>
      <c r="G220" s="3" t="str">
        <f>IFERROR(__xludf.DUMMYFUNCTION("""COMPUTED_VALUE"""),"Google Ads")</f>
        <v>Google Ads</v>
      </c>
      <c r="H220" s="3">
        <f>IFERROR(__xludf.DUMMYFUNCTION("""COMPUTED_VALUE"""),2.0221013E7)</f>
        <v>20221013</v>
      </c>
      <c r="I220" s="3" t="str">
        <f>IFERROR(__xludf.DUMMYFUNCTION("""COMPUTED_VALUE"""),"visitJaisalmer")</f>
        <v>visitJaisalmer</v>
      </c>
      <c r="J220" s="3">
        <f>IFERROR(__xludf.DUMMYFUNCTION("""COMPUTED_VALUE"""),3455.0)</f>
        <v>3455</v>
      </c>
      <c r="K220" s="3" t="str">
        <f t="shared" ref="K220:L220" si="224">TRIM(F220)</f>
        <v>VfS</v>
      </c>
      <c r="L220" s="3" t="str">
        <f t="shared" si="224"/>
        <v>Google Ads</v>
      </c>
      <c r="M220" s="3" t="str">
        <f t="shared" si="3"/>
        <v>Google Ads</v>
      </c>
      <c r="N220" s="3" t="str">
        <f>IFERROR(__xludf.DUMMYFUNCTION("SPLIT(M220,""&amp;"")"),"Google Ads")</f>
        <v>Google Ads</v>
      </c>
      <c r="O220" s="3" t="str">
        <f t="shared" si="4"/>
        <v>Google Ads</v>
      </c>
      <c r="P220" s="3" t="str">
        <f t="shared" si="5"/>
        <v>visitJaisalmer</v>
      </c>
      <c r="Q220" s="3" t="str">
        <f t="shared" si="6"/>
        <v>Visitjaisalmer</v>
      </c>
      <c r="R220" s="3">
        <f t="shared" si="7"/>
        <v>3455</v>
      </c>
    </row>
    <row r="221">
      <c r="A221" s="7" t="s">
        <v>136</v>
      </c>
      <c r="B221" s="8" t="s">
        <v>6</v>
      </c>
      <c r="C221" s="8">
        <v>39600.0</v>
      </c>
      <c r="E221" s="3" t="str">
        <f>IFERROR(__xludf.DUMMYFUNCTION("SPLIT(A221,""|"")")," VIN/TwiTter/20221016/visitbikaner/5666 ")</f>
        <v> VIN/TwiTter/20221016/visitbikaner/5666 </v>
      </c>
      <c r="F221" s="3" t="str">
        <f>IFERROR(__xludf.DUMMYFUNCTION("SPLIT(E221,""/"")")," VIN")</f>
        <v> VIN</v>
      </c>
      <c r="G221" s="3" t="str">
        <f>IFERROR(__xludf.DUMMYFUNCTION("""COMPUTED_VALUE"""),"TwiTter")</f>
        <v>TwiTter</v>
      </c>
      <c r="H221" s="3">
        <f>IFERROR(__xludf.DUMMYFUNCTION("""COMPUTED_VALUE"""),2.0221016E7)</f>
        <v>20221016</v>
      </c>
      <c r="I221" s="3" t="str">
        <f>IFERROR(__xludf.DUMMYFUNCTION("""COMPUTED_VALUE"""),"visitbikaner")</f>
        <v>visitbikaner</v>
      </c>
      <c r="J221" s="3">
        <f>IFERROR(__xludf.DUMMYFUNCTION("""COMPUTED_VALUE"""),5666.0)</f>
        <v>5666</v>
      </c>
      <c r="K221" s="3" t="str">
        <f t="shared" ref="K221:L221" si="225">TRIM(F221)</f>
        <v>VIN</v>
      </c>
      <c r="L221" s="3" t="str">
        <f t="shared" si="225"/>
        <v>TwiTter</v>
      </c>
      <c r="M221" s="3" t="str">
        <f t="shared" si="3"/>
        <v>Twitter</v>
      </c>
      <c r="N221" s="3" t="str">
        <f>IFERROR(__xludf.DUMMYFUNCTION("SPLIT(M221,""&amp;"")"),"Twitter")</f>
        <v>Twitter</v>
      </c>
      <c r="O221" s="3" t="str">
        <f t="shared" si="4"/>
        <v>Twitter</v>
      </c>
      <c r="P221" s="3" t="str">
        <f t="shared" si="5"/>
        <v>visitbikaner</v>
      </c>
      <c r="Q221" s="3" t="str">
        <f t="shared" si="6"/>
        <v>Visitbikaner</v>
      </c>
      <c r="R221" s="3">
        <f t="shared" si="7"/>
        <v>5666</v>
      </c>
    </row>
    <row r="222">
      <c r="A222" s="7" t="s">
        <v>153</v>
      </c>
      <c r="B222" s="8" t="s">
        <v>19</v>
      </c>
      <c r="C222" s="8">
        <v>94600.0</v>
      </c>
      <c r="E222" s="3" t="str">
        <f>IFERROR(__xludf.DUMMYFUNCTION("SPLIT(A222,""|"")")," NEFT/Offline/20221119/Visitjaipur/5676 ")</f>
        <v> NEFT/Offline/20221119/Visitjaipur/5676 </v>
      </c>
      <c r="F222" s="3" t="str">
        <f>IFERROR(__xludf.DUMMYFUNCTION("SPLIT(E222,""/"")")," NEFT")</f>
        <v> NEFT</v>
      </c>
      <c r="G222" s="3" t="str">
        <f>IFERROR(__xludf.DUMMYFUNCTION("""COMPUTED_VALUE"""),"Offline")</f>
        <v>Offline</v>
      </c>
      <c r="H222" s="3">
        <f>IFERROR(__xludf.DUMMYFUNCTION("""COMPUTED_VALUE"""),2.0221119E7)</f>
        <v>20221119</v>
      </c>
      <c r="I222" s="3" t="str">
        <f>IFERROR(__xludf.DUMMYFUNCTION("""COMPUTED_VALUE"""),"Visitjaipur")</f>
        <v>Visitjaipur</v>
      </c>
      <c r="J222" s="3">
        <f>IFERROR(__xludf.DUMMYFUNCTION("""COMPUTED_VALUE"""),5676.0)</f>
        <v>5676</v>
      </c>
      <c r="K222" s="3" t="str">
        <f t="shared" ref="K222:L222" si="226">TRIM(F222)</f>
        <v>NEFT</v>
      </c>
      <c r="L222" s="3" t="str">
        <f t="shared" si="226"/>
        <v>Offline</v>
      </c>
      <c r="M222" s="3" t="str">
        <f t="shared" si="3"/>
        <v>Offline</v>
      </c>
      <c r="N222" s="3" t="str">
        <f>IFERROR(__xludf.DUMMYFUNCTION("SPLIT(M222,""&amp;"")"),"Offline")</f>
        <v>Offline</v>
      </c>
      <c r="O222" s="3" t="str">
        <f t="shared" si="4"/>
        <v>Offline</v>
      </c>
      <c r="P222" s="3" t="str">
        <f t="shared" si="5"/>
        <v>Visitjaipur</v>
      </c>
      <c r="Q222" s="3" t="str">
        <f t="shared" si="6"/>
        <v>Visitjaipur</v>
      </c>
      <c r="R222" s="3">
        <f t="shared" si="7"/>
        <v>5676</v>
      </c>
    </row>
    <row r="223">
      <c r="A223" s="7" t="s">
        <v>138</v>
      </c>
      <c r="B223" s="8" t="s">
        <v>6</v>
      </c>
      <c r="C223" s="8">
        <v>81100.0</v>
      </c>
      <c r="E223" s="3" t="str">
        <f>IFERROR(__xludf.DUMMYFUNCTION("SPLIT(A223,""|"")")," CHQ/YouTube &amp;/20221022/Visitrajasthan/4564 ")</f>
        <v> CHQ/YouTube &amp;/20221022/Visitrajasthan/4564 </v>
      </c>
      <c r="F223" s="3" t="str">
        <f>IFERROR(__xludf.DUMMYFUNCTION("SPLIT(E223,""/"")")," CHQ")</f>
        <v> CHQ</v>
      </c>
      <c r="G223" s="3" t="str">
        <f>IFERROR(__xludf.DUMMYFUNCTION("""COMPUTED_VALUE"""),"YouTube &amp;")</f>
        <v>YouTube &amp;</v>
      </c>
      <c r="H223" s="3">
        <f>IFERROR(__xludf.DUMMYFUNCTION("""COMPUTED_VALUE"""),2.0221022E7)</f>
        <v>20221022</v>
      </c>
      <c r="I223" s="3" t="str">
        <f>IFERROR(__xludf.DUMMYFUNCTION("""COMPUTED_VALUE"""),"Visitrajasthan")</f>
        <v>Visitrajasthan</v>
      </c>
      <c r="J223" s="3">
        <f>IFERROR(__xludf.DUMMYFUNCTION("""COMPUTED_VALUE"""),4564.0)</f>
        <v>4564</v>
      </c>
      <c r="K223" s="3" t="str">
        <f t="shared" ref="K223:L223" si="227">TRIM(F223)</f>
        <v>CHQ</v>
      </c>
      <c r="L223" s="3" t="str">
        <f t="shared" si="227"/>
        <v>YouTube &amp;</v>
      </c>
      <c r="M223" s="3" t="str">
        <f t="shared" si="3"/>
        <v>Youtube &amp;</v>
      </c>
      <c r="N223" s="3" t="str">
        <f>IFERROR(__xludf.DUMMYFUNCTION("SPLIT(M223,""&amp;"")"),"Youtube ")</f>
        <v>Youtube </v>
      </c>
      <c r="O223" s="3" t="str">
        <f t="shared" si="4"/>
        <v>Youtube</v>
      </c>
      <c r="P223" s="3" t="str">
        <f t="shared" si="5"/>
        <v>Visitrajasthan</v>
      </c>
      <c r="Q223" s="3" t="str">
        <f t="shared" si="6"/>
        <v>Visitrajasthan</v>
      </c>
      <c r="R223" s="3">
        <f t="shared" si="7"/>
        <v>4564</v>
      </c>
    </row>
    <row r="224">
      <c r="A224" s="7" t="s">
        <v>139</v>
      </c>
      <c r="B224" s="8" t="s">
        <v>6</v>
      </c>
      <c r="C224" s="8">
        <v>41300.0</v>
      </c>
      <c r="E224" s="3" t="str">
        <f>IFERROR(__xludf.DUMMYFUNCTION("SPLIT(A224,""|"")")," VfS/Instagram/20221025/visitudaipur/4565 ")</f>
        <v> VfS/Instagram/20221025/visitudaipur/4565 </v>
      </c>
      <c r="F224" s="3" t="str">
        <f>IFERROR(__xludf.DUMMYFUNCTION("SPLIT(E224,""/"")")," VfS")</f>
        <v> VfS</v>
      </c>
      <c r="G224" s="3" t="str">
        <f>IFERROR(__xludf.DUMMYFUNCTION("""COMPUTED_VALUE"""),"Instagram")</f>
        <v>Instagram</v>
      </c>
      <c r="H224" s="3">
        <f>IFERROR(__xludf.DUMMYFUNCTION("""COMPUTED_VALUE"""),2.0221025E7)</f>
        <v>20221025</v>
      </c>
      <c r="I224" s="3" t="str">
        <f>IFERROR(__xludf.DUMMYFUNCTION("""COMPUTED_VALUE"""),"visitudaipur")</f>
        <v>visitudaipur</v>
      </c>
      <c r="J224" s="3">
        <f>IFERROR(__xludf.DUMMYFUNCTION("""COMPUTED_VALUE"""),4565.0)</f>
        <v>4565</v>
      </c>
      <c r="K224" s="3" t="str">
        <f t="shared" ref="K224:L224" si="228">TRIM(F224)</f>
        <v>VfS</v>
      </c>
      <c r="L224" s="3" t="str">
        <f t="shared" si="228"/>
        <v>Instagram</v>
      </c>
      <c r="M224" s="3" t="str">
        <f t="shared" si="3"/>
        <v>Instagram</v>
      </c>
      <c r="N224" s="3" t="str">
        <f>IFERROR(__xludf.DUMMYFUNCTION("SPLIT(M224,""&amp;"")"),"Instagram")</f>
        <v>Instagram</v>
      </c>
      <c r="O224" s="3" t="str">
        <f t="shared" si="4"/>
        <v>Instagram</v>
      </c>
      <c r="P224" s="3" t="str">
        <f t="shared" si="5"/>
        <v>visitudaipur</v>
      </c>
      <c r="Q224" s="3" t="str">
        <f t="shared" si="6"/>
        <v>Visitudaipur</v>
      </c>
      <c r="R224" s="3">
        <f t="shared" si="7"/>
        <v>4565</v>
      </c>
    </row>
    <row r="225">
      <c r="A225" s="7" t="s">
        <v>140</v>
      </c>
      <c r="B225" s="8" t="s">
        <v>6</v>
      </c>
      <c r="C225" s="8">
        <v>32200.0</v>
      </c>
      <c r="E225" s="3" t="str">
        <f>IFERROR(__xludf.DUMMYFUNCTION("SPLIT(A225,""|"")")," VIN/OfflINe &amp;/20221028/Visitjodhpur/4566 ")</f>
        <v> VIN/OfflINe &amp;/20221028/Visitjodhpur/4566 </v>
      </c>
      <c r="F225" s="3" t="str">
        <f>IFERROR(__xludf.DUMMYFUNCTION("SPLIT(E225,""/"")")," VIN")</f>
        <v> VIN</v>
      </c>
      <c r="G225" s="3" t="str">
        <f>IFERROR(__xludf.DUMMYFUNCTION("""COMPUTED_VALUE"""),"OfflINe &amp;")</f>
        <v>OfflINe &amp;</v>
      </c>
      <c r="H225" s="3">
        <f>IFERROR(__xludf.DUMMYFUNCTION("""COMPUTED_VALUE"""),2.0221028E7)</f>
        <v>20221028</v>
      </c>
      <c r="I225" s="3" t="str">
        <f>IFERROR(__xludf.DUMMYFUNCTION("""COMPUTED_VALUE"""),"Visitjodhpur")</f>
        <v>Visitjodhpur</v>
      </c>
      <c r="J225" s="3">
        <f>IFERROR(__xludf.DUMMYFUNCTION("""COMPUTED_VALUE"""),4566.0)</f>
        <v>4566</v>
      </c>
      <c r="K225" s="3" t="str">
        <f t="shared" ref="K225:L225" si="229">TRIM(F225)</f>
        <v>VIN</v>
      </c>
      <c r="L225" s="3" t="str">
        <f t="shared" si="229"/>
        <v>OfflINe &amp;</v>
      </c>
      <c r="M225" s="3" t="str">
        <f t="shared" si="3"/>
        <v>Offline &amp;</v>
      </c>
      <c r="N225" s="3" t="str">
        <f>IFERROR(__xludf.DUMMYFUNCTION("SPLIT(M225,""&amp;"")"),"Offline ")</f>
        <v>Offline </v>
      </c>
      <c r="O225" s="3" t="str">
        <f t="shared" si="4"/>
        <v>Offline</v>
      </c>
      <c r="P225" s="3" t="str">
        <f t="shared" si="5"/>
        <v>Visitjodhpur</v>
      </c>
      <c r="Q225" s="3" t="str">
        <f t="shared" si="6"/>
        <v>Visitjodhpur</v>
      </c>
      <c r="R225" s="3">
        <f t="shared" si="7"/>
        <v>4566</v>
      </c>
    </row>
    <row r="226">
      <c r="A226" s="7" t="s">
        <v>154</v>
      </c>
      <c r="B226" s="8" t="s">
        <v>19</v>
      </c>
      <c r="C226" s="8">
        <v>63400.0</v>
      </c>
      <c r="E226" s="3" t="str">
        <f>IFERROR(__xludf.DUMMYFUNCTION("SPLIT(A226,""|"")")," CHQ/Instagram/20221101/Visitjaipur/5676 ")</f>
        <v> CHQ/Instagram/20221101/Visitjaipur/5676 </v>
      </c>
      <c r="F226" s="3" t="str">
        <f>IFERROR(__xludf.DUMMYFUNCTION("SPLIT(E226,""/"")")," CHQ")</f>
        <v> CHQ</v>
      </c>
      <c r="G226" s="3" t="str">
        <f>IFERROR(__xludf.DUMMYFUNCTION("""COMPUTED_VALUE"""),"Instagram")</f>
        <v>Instagram</v>
      </c>
      <c r="H226" s="3">
        <f>IFERROR(__xludf.DUMMYFUNCTION("""COMPUTED_VALUE"""),2.0221101E7)</f>
        <v>20221101</v>
      </c>
      <c r="I226" s="3" t="str">
        <f>IFERROR(__xludf.DUMMYFUNCTION("""COMPUTED_VALUE"""),"Visitjaipur")</f>
        <v>Visitjaipur</v>
      </c>
      <c r="J226" s="3">
        <f>IFERROR(__xludf.DUMMYFUNCTION("""COMPUTED_VALUE"""),5676.0)</f>
        <v>5676</v>
      </c>
      <c r="K226" s="3" t="str">
        <f t="shared" ref="K226:L226" si="230">TRIM(F226)</f>
        <v>CHQ</v>
      </c>
      <c r="L226" s="3" t="str">
        <f t="shared" si="230"/>
        <v>Instagram</v>
      </c>
      <c r="M226" s="3" t="str">
        <f t="shared" si="3"/>
        <v>Instagram</v>
      </c>
      <c r="N226" s="3" t="str">
        <f>IFERROR(__xludf.DUMMYFUNCTION("SPLIT(M226,""&amp;"")"),"Instagram")</f>
        <v>Instagram</v>
      </c>
      <c r="O226" s="3" t="str">
        <f t="shared" si="4"/>
        <v>Instagram</v>
      </c>
      <c r="P226" s="3" t="str">
        <f t="shared" si="5"/>
        <v>Visitjaipur</v>
      </c>
      <c r="Q226" s="3" t="str">
        <f t="shared" si="6"/>
        <v>Visitjaipur</v>
      </c>
      <c r="R226" s="3">
        <f t="shared" si="7"/>
        <v>5676</v>
      </c>
    </row>
    <row r="227">
      <c r="A227" s="7" t="s">
        <v>142</v>
      </c>
      <c r="B227" s="8" t="s">
        <v>19</v>
      </c>
      <c r="C227" s="8">
        <v>25500.0</v>
      </c>
      <c r="E227" s="3" t="str">
        <f>IFERROR(__xludf.DUMMYFUNCTION("SPLIT(A227,""|"")")," VfS/YouTube/20221104/Visitrajasthan/4564 ")</f>
        <v> VfS/YouTube/20221104/Visitrajasthan/4564 </v>
      </c>
      <c r="F227" s="3" t="str">
        <f>IFERROR(__xludf.DUMMYFUNCTION("SPLIT(E227,""/"")")," VfS")</f>
        <v> VfS</v>
      </c>
      <c r="G227" s="3" t="str">
        <f>IFERROR(__xludf.DUMMYFUNCTION("""COMPUTED_VALUE"""),"YouTube")</f>
        <v>YouTube</v>
      </c>
      <c r="H227" s="3">
        <f>IFERROR(__xludf.DUMMYFUNCTION("""COMPUTED_VALUE"""),2.0221104E7)</f>
        <v>20221104</v>
      </c>
      <c r="I227" s="3" t="str">
        <f>IFERROR(__xludf.DUMMYFUNCTION("""COMPUTED_VALUE"""),"Visitrajasthan")</f>
        <v>Visitrajasthan</v>
      </c>
      <c r="J227" s="3">
        <f>IFERROR(__xludf.DUMMYFUNCTION("""COMPUTED_VALUE"""),4564.0)</f>
        <v>4564</v>
      </c>
      <c r="K227" s="3" t="str">
        <f t="shared" ref="K227:L227" si="231">TRIM(F227)</f>
        <v>VfS</v>
      </c>
      <c r="L227" s="3" t="str">
        <f t="shared" si="231"/>
        <v>YouTube</v>
      </c>
      <c r="M227" s="3" t="str">
        <f t="shared" si="3"/>
        <v>Youtube</v>
      </c>
      <c r="N227" s="3" t="str">
        <f>IFERROR(__xludf.DUMMYFUNCTION("SPLIT(M227,""&amp;"")"),"Youtube")</f>
        <v>Youtube</v>
      </c>
      <c r="O227" s="3" t="str">
        <f t="shared" si="4"/>
        <v>Youtube</v>
      </c>
      <c r="P227" s="3" t="str">
        <f t="shared" si="5"/>
        <v>Visitrajasthan</v>
      </c>
      <c r="Q227" s="3" t="str">
        <f t="shared" si="6"/>
        <v>Visitrajasthan</v>
      </c>
      <c r="R227" s="3">
        <f t="shared" si="7"/>
        <v>4564</v>
      </c>
    </row>
    <row r="228">
      <c r="A228" s="7" t="s">
        <v>143</v>
      </c>
      <c r="B228" s="8" t="s">
        <v>19</v>
      </c>
      <c r="C228" s="8">
        <v>17200.0</v>
      </c>
      <c r="E228" s="3" t="str">
        <f>IFERROR(__xludf.DUMMYFUNCTION("SPLIT(A228,""|"")")," NEFT/Instagram/20221107/visitudaipur/4565 ")</f>
        <v> NEFT/Instagram/20221107/visitudaipur/4565 </v>
      </c>
      <c r="F228" s="3" t="str">
        <f>IFERROR(__xludf.DUMMYFUNCTION("SPLIT(E228,""/"")")," NEFT")</f>
        <v> NEFT</v>
      </c>
      <c r="G228" s="3" t="str">
        <f>IFERROR(__xludf.DUMMYFUNCTION("""COMPUTED_VALUE"""),"Instagram")</f>
        <v>Instagram</v>
      </c>
      <c r="H228" s="3">
        <f>IFERROR(__xludf.DUMMYFUNCTION("""COMPUTED_VALUE"""),2.0221107E7)</f>
        <v>20221107</v>
      </c>
      <c r="I228" s="3" t="str">
        <f>IFERROR(__xludf.DUMMYFUNCTION("""COMPUTED_VALUE"""),"visitudaipur")</f>
        <v>visitudaipur</v>
      </c>
      <c r="J228" s="3">
        <f>IFERROR(__xludf.DUMMYFUNCTION("""COMPUTED_VALUE"""),4565.0)</f>
        <v>4565</v>
      </c>
      <c r="K228" s="3" t="str">
        <f t="shared" ref="K228:L228" si="232">TRIM(F228)</f>
        <v>NEFT</v>
      </c>
      <c r="L228" s="3" t="str">
        <f t="shared" si="232"/>
        <v>Instagram</v>
      </c>
      <c r="M228" s="3" t="str">
        <f t="shared" si="3"/>
        <v>Instagram</v>
      </c>
      <c r="N228" s="3" t="str">
        <f>IFERROR(__xludf.DUMMYFUNCTION("SPLIT(M228,""&amp;"")"),"Instagram")</f>
        <v>Instagram</v>
      </c>
      <c r="O228" s="3" t="str">
        <f t="shared" si="4"/>
        <v>Instagram</v>
      </c>
      <c r="P228" s="3" t="str">
        <f t="shared" si="5"/>
        <v>visitudaipur</v>
      </c>
      <c r="Q228" s="3" t="str">
        <f t="shared" si="6"/>
        <v>Visitudaipur</v>
      </c>
      <c r="R228" s="3">
        <f t="shared" si="7"/>
        <v>4565</v>
      </c>
    </row>
    <row r="229">
      <c r="A229" s="7" t="s">
        <v>144</v>
      </c>
      <c r="B229" s="8" t="s">
        <v>19</v>
      </c>
      <c r="C229" s="8">
        <v>53500.0</v>
      </c>
      <c r="E229" s="3" t="str">
        <f>IFERROR(__xludf.DUMMYFUNCTION("SPLIT(A229,""|"")")," CHQ/Offline &amp;/20221110/Visitjodhpur/4566 ")</f>
        <v> CHQ/Offline &amp;/20221110/Visitjodhpur/4566 </v>
      </c>
      <c r="F229" s="3" t="str">
        <f>IFERROR(__xludf.DUMMYFUNCTION("SPLIT(E229,""/"")")," CHQ")</f>
        <v> CHQ</v>
      </c>
      <c r="G229" s="3" t="str">
        <f>IFERROR(__xludf.DUMMYFUNCTION("""COMPUTED_VALUE"""),"Offline &amp;")</f>
        <v>Offline &amp;</v>
      </c>
      <c r="H229" s="3">
        <f>IFERROR(__xludf.DUMMYFUNCTION("""COMPUTED_VALUE"""),2.022111E7)</f>
        <v>20221110</v>
      </c>
      <c r="I229" s="3" t="str">
        <f>IFERROR(__xludf.DUMMYFUNCTION("""COMPUTED_VALUE"""),"Visitjodhpur")</f>
        <v>Visitjodhpur</v>
      </c>
      <c r="J229" s="3">
        <f>IFERROR(__xludf.DUMMYFUNCTION("""COMPUTED_VALUE"""),4566.0)</f>
        <v>4566</v>
      </c>
      <c r="K229" s="3" t="str">
        <f t="shared" ref="K229:L229" si="233">TRIM(F229)</f>
        <v>CHQ</v>
      </c>
      <c r="L229" s="3" t="str">
        <f t="shared" si="233"/>
        <v>Offline &amp;</v>
      </c>
      <c r="M229" s="3" t="str">
        <f t="shared" si="3"/>
        <v>Offline &amp;</v>
      </c>
      <c r="N229" s="3" t="str">
        <f>IFERROR(__xludf.DUMMYFUNCTION("SPLIT(M229,""&amp;"")"),"Offline ")</f>
        <v>Offline </v>
      </c>
      <c r="O229" s="3" t="str">
        <f t="shared" si="4"/>
        <v>Offline</v>
      </c>
      <c r="P229" s="3" t="str">
        <f t="shared" si="5"/>
        <v>Visitjodhpur</v>
      </c>
      <c r="Q229" s="3" t="str">
        <f t="shared" si="6"/>
        <v>Visitjodhpur</v>
      </c>
      <c r="R229" s="3">
        <f t="shared" si="7"/>
        <v>4566</v>
      </c>
    </row>
    <row r="230">
      <c r="A230" s="7" t="s">
        <v>145</v>
      </c>
      <c r="B230" s="8" t="s">
        <v>19</v>
      </c>
      <c r="C230" s="8">
        <v>87700.0</v>
      </c>
      <c r="E230" s="3" t="str">
        <f>IFERROR(__xludf.DUMMYFUNCTION("SPLIT(A230,""|"")")," VfS/Google Ads/20221113/visitJaisalmer/3455 ")</f>
        <v> VfS/Google Ads/20221113/visitJaisalmer/3455 </v>
      </c>
      <c r="F230" s="3" t="str">
        <f>IFERROR(__xludf.DUMMYFUNCTION("SPLIT(E230,""/"")")," VfS")</f>
        <v> VfS</v>
      </c>
      <c r="G230" s="3" t="str">
        <f>IFERROR(__xludf.DUMMYFUNCTION("""COMPUTED_VALUE"""),"Google Ads")</f>
        <v>Google Ads</v>
      </c>
      <c r="H230" s="3">
        <f>IFERROR(__xludf.DUMMYFUNCTION("""COMPUTED_VALUE"""),2.0221113E7)</f>
        <v>20221113</v>
      </c>
      <c r="I230" s="3" t="str">
        <f>IFERROR(__xludf.DUMMYFUNCTION("""COMPUTED_VALUE"""),"visitJaisalmer")</f>
        <v>visitJaisalmer</v>
      </c>
      <c r="J230" s="3">
        <f>IFERROR(__xludf.DUMMYFUNCTION("""COMPUTED_VALUE"""),3455.0)</f>
        <v>3455</v>
      </c>
      <c r="K230" s="3" t="str">
        <f t="shared" ref="K230:L230" si="234">TRIM(F230)</f>
        <v>VfS</v>
      </c>
      <c r="L230" s="3" t="str">
        <f t="shared" si="234"/>
        <v>Google Ads</v>
      </c>
      <c r="M230" s="3" t="str">
        <f t="shared" si="3"/>
        <v>Google Ads</v>
      </c>
      <c r="N230" s="3" t="str">
        <f>IFERROR(__xludf.DUMMYFUNCTION("SPLIT(M230,""&amp;"")"),"Google Ads")</f>
        <v>Google Ads</v>
      </c>
      <c r="O230" s="3" t="str">
        <f t="shared" si="4"/>
        <v>Google Ads</v>
      </c>
      <c r="P230" s="3" t="str">
        <f t="shared" si="5"/>
        <v>visitJaisalmer</v>
      </c>
      <c r="Q230" s="3" t="str">
        <f t="shared" si="6"/>
        <v>Visitjaisalmer</v>
      </c>
      <c r="R230" s="3">
        <f t="shared" si="7"/>
        <v>3455</v>
      </c>
    </row>
    <row r="231">
      <c r="A231" s="7" t="s">
        <v>146</v>
      </c>
      <c r="B231" s="8" t="s">
        <v>19</v>
      </c>
      <c r="C231" s="8">
        <v>11300.0</v>
      </c>
      <c r="E231" s="3" t="str">
        <f>IFERROR(__xludf.DUMMYFUNCTION("SPLIT(A231,""|"")")," VIN/TwiTter/20221116/visitbikaner/5666 ")</f>
        <v> VIN/TwiTter/20221116/visitbikaner/5666 </v>
      </c>
      <c r="F231" s="3" t="str">
        <f>IFERROR(__xludf.DUMMYFUNCTION("SPLIT(E231,""/"")")," VIN")</f>
        <v> VIN</v>
      </c>
      <c r="G231" s="3" t="str">
        <f>IFERROR(__xludf.DUMMYFUNCTION("""COMPUTED_VALUE"""),"TwiTter")</f>
        <v>TwiTter</v>
      </c>
      <c r="H231" s="3">
        <f>IFERROR(__xludf.DUMMYFUNCTION("""COMPUTED_VALUE"""),2.0221116E7)</f>
        <v>20221116</v>
      </c>
      <c r="I231" s="3" t="str">
        <f>IFERROR(__xludf.DUMMYFUNCTION("""COMPUTED_VALUE"""),"visitbikaner")</f>
        <v>visitbikaner</v>
      </c>
      <c r="J231" s="3">
        <f>IFERROR(__xludf.DUMMYFUNCTION("""COMPUTED_VALUE"""),5666.0)</f>
        <v>5666</v>
      </c>
      <c r="K231" s="3" t="str">
        <f t="shared" ref="K231:L231" si="235">TRIM(F231)</f>
        <v>VIN</v>
      </c>
      <c r="L231" s="3" t="str">
        <f t="shared" si="235"/>
        <v>TwiTter</v>
      </c>
      <c r="M231" s="3" t="str">
        <f t="shared" si="3"/>
        <v>Twitter</v>
      </c>
      <c r="N231" s="3" t="str">
        <f>IFERROR(__xludf.DUMMYFUNCTION("SPLIT(M231,""&amp;"")"),"Twitter")</f>
        <v>Twitter</v>
      </c>
      <c r="O231" s="3" t="str">
        <f t="shared" si="4"/>
        <v>Twitter</v>
      </c>
      <c r="P231" s="3" t="str">
        <f t="shared" si="5"/>
        <v>visitbikaner</v>
      </c>
      <c r="Q231" s="3" t="str">
        <f t="shared" si="6"/>
        <v>Visitbikaner</v>
      </c>
      <c r="R231" s="3">
        <f t="shared" si="7"/>
        <v>5666</v>
      </c>
    </row>
    <row r="232">
      <c r="A232" s="7" t="s">
        <v>155</v>
      </c>
      <c r="B232" s="8" t="s">
        <v>19</v>
      </c>
      <c r="C232" s="8">
        <v>28200.0</v>
      </c>
      <c r="E232" s="3" t="str">
        <f>IFERROR(__xludf.DUMMYFUNCTION("SPLIT(A232,""|"")")," NEFT/Instagram/20221119/Visitjaipur/5676 ")</f>
        <v> NEFT/Instagram/20221119/Visitjaipur/5676 </v>
      </c>
      <c r="F232" s="3" t="str">
        <f>IFERROR(__xludf.DUMMYFUNCTION("SPLIT(E232,""/"")")," NEFT")</f>
        <v> NEFT</v>
      </c>
      <c r="G232" s="3" t="str">
        <f>IFERROR(__xludf.DUMMYFUNCTION("""COMPUTED_VALUE"""),"Instagram")</f>
        <v>Instagram</v>
      </c>
      <c r="H232" s="3">
        <f>IFERROR(__xludf.DUMMYFUNCTION("""COMPUTED_VALUE"""),2.0221119E7)</f>
        <v>20221119</v>
      </c>
      <c r="I232" s="3" t="str">
        <f>IFERROR(__xludf.DUMMYFUNCTION("""COMPUTED_VALUE"""),"Visitjaipur")</f>
        <v>Visitjaipur</v>
      </c>
      <c r="J232" s="3">
        <f>IFERROR(__xludf.DUMMYFUNCTION("""COMPUTED_VALUE"""),5676.0)</f>
        <v>5676</v>
      </c>
      <c r="K232" s="3" t="str">
        <f t="shared" ref="K232:L232" si="236">TRIM(F232)</f>
        <v>NEFT</v>
      </c>
      <c r="L232" s="3" t="str">
        <f t="shared" si="236"/>
        <v>Instagram</v>
      </c>
      <c r="M232" s="3" t="str">
        <f t="shared" si="3"/>
        <v>Instagram</v>
      </c>
      <c r="N232" s="3" t="str">
        <f>IFERROR(__xludf.DUMMYFUNCTION("SPLIT(M232,""&amp;"")"),"Instagram")</f>
        <v>Instagram</v>
      </c>
      <c r="O232" s="3" t="str">
        <f t="shared" si="4"/>
        <v>Instagram</v>
      </c>
      <c r="P232" s="3" t="str">
        <f t="shared" si="5"/>
        <v>Visitjaipur</v>
      </c>
      <c r="Q232" s="3" t="str">
        <f t="shared" si="6"/>
        <v>Visitjaipur</v>
      </c>
      <c r="R232" s="3">
        <f t="shared" si="7"/>
        <v>5676</v>
      </c>
    </row>
    <row r="233">
      <c r="A233" s="7" t="s">
        <v>148</v>
      </c>
      <c r="B233" s="8" t="s">
        <v>19</v>
      </c>
      <c r="C233" s="8">
        <v>47500.0</v>
      </c>
      <c r="E233" s="3" t="str">
        <f>IFERROR(__xludf.DUMMYFUNCTION("SPLIT(A233,""|"")")," CHQ/YouTube &amp;/20221122/Visitrajasthan/4564 ")</f>
        <v> CHQ/YouTube &amp;/20221122/Visitrajasthan/4564 </v>
      </c>
      <c r="F233" s="3" t="str">
        <f>IFERROR(__xludf.DUMMYFUNCTION("SPLIT(E233,""/"")")," CHQ")</f>
        <v> CHQ</v>
      </c>
      <c r="G233" s="3" t="str">
        <f>IFERROR(__xludf.DUMMYFUNCTION("""COMPUTED_VALUE"""),"YouTube &amp;")</f>
        <v>YouTube &amp;</v>
      </c>
      <c r="H233" s="3">
        <f>IFERROR(__xludf.DUMMYFUNCTION("""COMPUTED_VALUE"""),2.0221122E7)</f>
        <v>20221122</v>
      </c>
      <c r="I233" s="3" t="str">
        <f>IFERROR(__xludf.DUMMYFUNCTION("""COMPUTED_VALUE"""),"Visitrajasthan")</f>
        <v>Visitrajasthan</v>
      </c>
      <c r="J233" s="3">
        <f>IFERROR(__xludf.DUMMYFUNCTION("""COMPUTED_VALUE"""),4564.0)</f>
        <v>4564</v>
      </c>
      <c r="K233" s="3" t="str">
        <f t="shared" ref="K233:L233" si="237">TRIM(F233)</f>
        <v>CHQ</v>
      </c>
      <c r="L233" s="3" t="str">
        <f t="shared" si="237"/>
        <v>YouTube &amp;</v>
      </c>
      <c r="M233" s="3" t="str">
        <f t="shared" si="3"/>
        <v>Youtube &amp;</v>
      </c>
      <c r="N233" s="3" t="str">
        <f>IFERROR(__xludf.DUMMYFUNCTION("SPLIT(M233,""&amp;"")"),"Youtube ")</f>
        <v>Youtube </v>
      </c>
      <c r="O233" s="3" t="str">
        <f t="shared" si="4"/>
        <v>Youtube</v>
      </c>
      <c r="P233" s="3" t="str">
        <f t="shared" si="5"/>
        <v>Visitrajasthan</v>
      </c>
      <c r="Q233" s="3" t="str">
        <f t="shared" si="6"/>
        <v>Visitrajasthan</v>
      </c>
      <c r="R233" s="3">
        <f t="shared" si="7"/>
        <v>4564</v>
      </c>
    </row>
    <row r="234">
      <c r="A234" s="7" t="s">
        <v>149</v>
      </c>
      <c r="B234" s="8" t="s">
        <v>19</v>
      </c>
      <c r="C234" s="8">
        <v>96600.0</v>
      </c>
      <c r="E234" s="3" t="str">
        <f>IFERROR(__xludf.DUMMYFUNCTION("SPLIT(A234,""|"")")," VfS/Instagram/20221125/visitudaipur/4565 ")</f>
        <v> VfS/Instagram/20221125/visitudaipur/4565 </v>
      </c>
      <c r="F234" s="3" t="str">
        <f>IFERROR(__xludf.DUMMYFUNCTION("SPLIT(E234,""/"")")," VfS")</f>
        <v> VfS</v>
      </c>
      <c r="G234" s="3" t="str">
        <f>IFERROR(__xludf.DUMMYFUNCTION("""COMPUTED_VALUE"""),"Instagram")</f>
        <v>Instagram</v>
      </c>
      <c r="H234" s="3">
        <f>IFERROR(__xludf.DUMMYFUNCTION("""COMPUTED_VALUE"""),2.0221125E7)</f>
        <v>20221125</v>
      </c>
      <c r="I234" s="3" t="str">
        <f>IFERROR(__xludf.DUMMYFUNCTION("""COMPUTED_VALUE"""),"visitudaipur")</f>
        <v>visitudaipur</v>
      </c>
      <c r="J234" s="3">
        <f>IFERROR(__xludf.DUMMYFUNCTION("""COMPUTED_VALUE"""),4565.0)</f>
        <v>4565</v>
      </c>
      <c r="K234" s="3" t="str">
        <f t="shared" ref="K234:L234" si="238">TRIM(F234)</f>
        <v>VfS</v>
      </c>
      <c r="L234" s="3" t="str">
        <f t="shared" si="238"/>
        <v>Instagram</v>
      </c>
      <c r="M234" s="3" t="str">
        <f t="shared" si="3"/>
        <v>Instagram</v>
      </c>
      <c r="N234" s="3" t="str">
        <f>IFERROR(__xludf.DUMMYFUNCTION("SPLIT(M234,""&amp;"")"),"Instagram")</f>
        <v>Instagram</v>
      </c>
      <c r="O234" s="3" t="str">
        <f t="shared" si="4"/>
        <v>Instagram</v>
      </c>
      <c r="P234" s="3" t="str">
        <f t="shared" si="5"/>
        <v>visitudaipur</v>
      </c>
      <c r="Q234" s="3" t="str">
        <f t="shared" si="6"/>
        <v>Visitudaipur</v>
      </c>
      <c r="R234" s="3">
        <f t="shared" si="7"/>
        <v>4565</v>
      </c>
    </row>
    <row r="235">
      <c r="A235" s="7" t="s">
        <v>150</v>
      </c>
      <c r="B235" s="8" t="s">
        <v>19</v>
      </c>
      <c r="C235" s="8">
        <v>37500.0</v>
      </c>
      <c r="E235" s="3" t="str">
        <f>IFERROR(__xludf.DUMMYFUNCTION("SPLIT(A235,""|"")")," VIN/OfflINe &amp;/20221128/Visitjodhpur/4566 ")</f>
        <v> VIN/OfflINe &amp;/20221128/Visitjodhpur/4566 </v>
      </c>
      <c r="F235" s="3" t="str">
        <f>IFERROR(__xludf.DUMMYFUNCTION("SPLIT(E235,""/"")")," VIN")</f>
        <v> VIN</v>
      </c>
      <c r="G235" s="3" t="str">
        <f>IFERROR(__xludf.DUMMYFUNCTION("""COMPUTED_VALUE"""),"OfflINe &amp;")</f>
        <v>OfflINe &amp;</v>
      </c>
      <c r="H235" s="3">
        <f>IFERROR(__xludf.DUMMYFUNCTION("""COMPUTED_VALUE"""),2.0221128E7)</f>
        <v>20221128</v>
      </c>
      <c r="I235" s="3" t="str">
        <f>IFERROR(__xludf.DUMMYFUNCTION("""COMPUTED_VALUE"""),"Visitjodhpur")</f>
        <v>Visitjodhpur</v>
      </c>
      <c r="J235" s="3">
        <f>IFERROR(__xludf.DUMMYFUNCTION("""COMPUTED_VALUE"""),4566.0)</f>
        <v>4566</v>
      </c>
      <c r="K235" s="3" t="str">
        <f t="shared" ref="K235:L235" si="239">TRIM(F235)</f>
        <v>VIN</v>
      </c>
      <c r="L235" s="3" t="str">
        <f t="shared" si="239"/>
        <v>OfflINe &amp;</v>
      </c>
      <c r="M235" s="3" t="str">
        <f t="shared" si="3"/>
        <v>Offline &amp;</v>
      </c>
      <c r="N235" s="3" t="str">
        <f>IFERROR(__xludf.DUMMYFUNCTION("SPLIT(M235,""&amp;"")"),"Offline ")</f>
        <v>Offline </v>
      </c>
      <c r="O235" s="3" t="str">
        <f t="shared" si="4"/>
        <v>Offline</v>
      </c>
      <c r="P235" s="3" t="str">
        <f t="shared" si="5"/>
        <v>Visitjodhpur</v>
      </c>
      <c r="Q235" s="3" t="str">
        <f t="shared" si="6"/>
        <v>Visitjodhpur</v>
      </c>
      <c r="R235" s="3">
        <f t="shared" si="7"/>
        <v>4566</v>
      </c>
    </row>
    <row r="236">
      <c r="A236" s="7" t="s">
        <v>156</v>
      </c>
      <c r="B236" s="8" t="s">
        <v>19</v>
      </c>
      <c r="C236" s="8">
        <v>32800.0</v>
      </c>
      <c r="E236" s="3" t="str">
        <f>IFERROR(__xludf.DUMMYFUNCTION("SPLIT(A236,""|"")")," CHQ/Google Ads/20221101/Visitjaipur/5676 ")</f>
        <v> CHQ/Google Ads/20221101/Visitjaipur/5676 </v>
      </c>
      <c r="F236" s="3" t="str">
        <f>IFERROR(__xludf.DUMMYFUNCTION("SPLIT(E236,""/"")")," CHQ")</f>
        <v> CHQ</v>
      </c>
      <c r="G236" s="3" t="str">
        <f>IFERROR(__xludf.DUMMYFUNCTION("""COMPUTED_VALUE"""),"Google Ads")</f>
        <v>Google Ads</v>
      </c>
      <c r="H236" s="3">
        <f>IFERROR(__xludf.DUMMYFUNCTION("""COMPUTED_VALUE"""),2.0221101E7)</f>
        <v>20221101</v>
      </c>
      <c r="I236" s="3" t="str">
        <f>IFERROR(__xludf.DUMMYFUNCTION("""COMPUTED_VALUE"""),"Visitjaipur")</f>
        <v>Visitjaipur</v>
      </c>
      <c r="J236" s="3">
        <f>IFERROR(__xludf.DUMMYFUNCTION("""COMPUTED_VALUE"""),5676.0)</f>
        <v>5676</v>
      </c>
      <c r="K236" s="3" t="str">
        <f t="shared" ref="K236:L236" si="240">TRIM(F236)</f>
        <v>CHQ</v>
      </c>
      <c r="L236" s="3" t="str">
        <f t="shared" si="240"/>
        <v>Google Ads</v>
      </c>
      <c r="M236" s="3" t="str">
        <f t="shared" si="3"/>
        <v>Google Ads</v>
      </c>
      <c r="N236" s="3" t="str">
        <f>IFERROR(__xludf.DUMMYFUNCTION("SPLIT(M236,""&amp;"")"),"Google Ads")</f>
        <v>Google Ads</v>
      </c>
      <c r="O236" s="3" t="str">
        <f t="shared" si="4"/>
        <v>Google Ads</v>
      </c>
      <c r="P236" s="3" t="str">
        <f t="shared" si="5"/>
        <v>Visitjaipur</v>
      </c>
      <c r="Q236" s="3" t="str">
        <f t="shared" si="6"/>
        <v>Visitjaipur</v>
      </c>
      <c r="R236" s="3">
        <f t="shared" si="7"/>
        <v>5676</v>
      </c>
    </row>
    <row r="237">
      <c r="A237" s="7" t="s">
        <v>122</v>
      </c>
      <c r="B237" s="8" t="s">
        <v>20</v>
      </c>
      <c r="C237" s="8">
        <v>24000.0</v>
      </c>
      <c r="E237" s="3" t="str">
        <f>IFERROR(__xludf.DUMMYFUNCTION("SPLIT(A237,""|"")")," VfS/YouTube/20221204/Visitrajasthan/4564 ")</f>
        <v> VfS/YouTube/20221204/Visitrajasthan/4564 </v>
      </c>
      <c r="F237" s="3" t="str">
        <f>IFERROR(__xludf.DUMMYFUNCTION("SPLIT(E237,""/"")")," VfS")</f>
        <v> VfS</v>
      </c>
      <c r="G237" s="3" t="str">
        <f>IFERROR(__xludf.DUMMYFUNCTION("""COMPUTED_VALUE"""),"YouTube")</f>
        <v>YouTube</v>
      </c>
      <c r="H237" s="3">
        <f>IFERROR(__xludf.DUMMYFUNCTION("""COMPUTED_VALUE"""),2.0221204E7)</f>
        <v>20221204</v>
      </c>
      <c r="I237" s="3" t="str">
        <f>IFERROR(__xludf.DUMMYFUNCTION("""COMPUTED_VALUE"""),"Visitrajasthan")</f>
        <v>Visitrajasthan</v>
      </c>
      <c r="J237" s="3">
        <f>IFERROR(__xludf.DUMMYFUNCTION("""COMPUTED_VALUE"""),4564.0)</f>
        <v>4564</v>
      </c>
      <c r="K237" s="3" t="str">
        <f t="shared" ref="K237:L237" si="241">TRIM(F237)</f>
        <v>VfS</v>
      </c>
      <c r="L237" s="3" t="str">
        <f t="shared" si="241"/>
        <v>YouTube</v>
      </c>
      <c r="M237" s="3" t="str">
        <f t="shared" si="3"/>
        <v>Youtube</v>
      </c>
      <c r="N237" s="3" t="str">
        <f>IFERROR(__xludf.DUMMYFUNCTION("SPLIT(M237,""&amp;"")"),"Youtube")</f>
        <v>Youtube</v>
      </c>
      <c r="O237" s="3" t="str">
        <f t="shared" si="4"/>
        <v>Youtube</v>
      </c>
      <c r="P237" s="3" t="str">
        <f t="shared" si="5"/>
        <v>Visitrajasthan</v>
      </c>
      <c r="Q237" s="3" t="str">
        <f t="shared" si="6"/>
        <v>Visitrajasthan</v>
      </c>
      <c r="R237" s="3">
        <f t="shared" si="7"/>
        <v>4564</v>
      </c>
    </row>
    <row r="238">
      <c r="A238" s="7" t="s">
        <v>123</v>
      </c>
      <c r="B238" s="8" t="s">
        <v>20</v>
      </c>
      <c r="C238" s="8">
        <v>24800.0</v>
      </c>
      <c r="E238" s="3" t="str">
        <f>IFERROR(__xludf.DUMMYFUNCTION("SPLIT(A238,""|"")")," NEFT/Instagram/20221207/visitudaipur/4565 ")</f>
        <v> NEFT/Instagram/20221207/visitudaipur/4565 </v>
      </c>
      <c r="F238" s="3" t="str">
        <f>IFERROR(__xludf.DUMMYFUNCTION("SPLIT(E238,""/"")")," NEFT")</f>
        <v> NEFT</v>
      </c>
      <c r="G238" s="3" t="str">
        <f>IFERROR(__xludf.DUMMYFUNCTION("""COMPUTED_VALUE"""),"Instagram")</f>
        <v>Instagram</v>
      </c>
      <c r="H238" s="3">
        <f>IFERROR(__xludf.DUMMYFUNCTION("""COMPUTED_VALUE"""),2.0221207E7)</f>
        <v>20221207</v>
      </c>
      <c r="I238" s="3" t="str">
        <f>IFERROR(__xludf.DUMMYFUNCTION("""COMPUTED_VALUE"""),"visitudaipur")</f>
        <v>visitudaipur</v>
      </c>
      <c r="J238" s="3">
        <f>IFERROR(__xludf.DUMMYFUNCTION("""COMPUTED_VALUE"""),4565.0)</f>
        <v>4565</v>
      </c>
      <c r="K238" s="3" t="str">
        <f t="shared" ref="K238:L238" si="242">TRIM(F238)</f>
        <v>NEFT</v>
      </c>
      <c r="L238" s="3" t="str">
        <f t="shared" si="242"/>
        <v>Instagram</v>
      </c>
      <c r="M238" s="3" t="str">
        <f t="shared" si="3"/>
        <v>Instagram</v>
      </c>
      <c r="N238" s="3" t="str">
        <f>IFERROR(__xludf.DUMMYFUNCTION("SPLIT(M238,""&amp;"")"),"Instagram")</f>
        <v>Instagram</v>
      </c>
      <c r="O238" s="3" t="str">
        <f t="shared" si="4"/>
        <v>Instagram</v>
      </c>
      <c r="P238" s="3" t="str">
        <f t="shared" si="5"/>
        <v>visitudaipur</v>
      </c>
      <c r="Q238" s="3" t="str">
        <f t="shared" si="6"/>
        <v>Visitudaipur</v>
      </c>
      <c r="R238" s="3">
        <f t="shared" si="7"/>
        <v>4565</v>
      </c>
    </row>
    <row r="239">
      <c r="A239" s="7" t="s">
        <v>124</v>
      </c>
      <c r="B239" s="8" t="s">
        <v>20</v>
      </c>
      <c r="C239" s="8">
        <v>48100.0</v>
      </c>
      <c r="E239" s="3" t="str">
        <f>IFERROR(__xludf.DUMMYFUNCTION("SPLIT(A239,""|"")")," CHQ/Offline &amp;/20221210/Visitjodhpur/4566 ")</f>
        <v> CHQ/Offline &amp;/20221210/Visitjodhpur/4566 </v>
      </c>
      <c r="F239" s="3" t="str">
        <f>IFERROR(__xludf.DUMMYFUNCTION("SPLIT(E239,""/"")")," CHQ")</f>
        <v> CHQ</v>
      </c>
      <c r="G239" s="3" t="str">
        <f>IFERROR(__xludf.DUMMYFUNCTION("""COMPUTED_VALUE"""),"Offline &amp;")</f>
        <v>Offline &amp;</v>
      </c>
      <c r="H239" s="3">
        <f>IFERROR(__xludf.DUMMYFUNCTION("""COMPUTED_VALUE"""),2.022121E7)</f>
        <v>20221210</v>
      </c>
      <c r="I239" s="3" t="str">
        <f>IFERROR(__xludf.DUMMYFUNCTION("""COMPUTED_VALUE"""),"Visitjodhpur")</f>
        <v>Visitjodhpur</v>
      </c>
      <c r="J239" s="3">
        <f>IFERROR(__xludf.DUMMYFUNCTION("""COMPUTED_VALUE"""),4566.0)</f>
        <v>4566</v>
      </c>
      <c r="K239" s="3" t="str">
        <f t="shared" ref="K239:L239" si="243">TRIM(F239)</f>
        <v>CHQ</v>
      </c>
      <c r="L239" s="3" t="str">
        <f t="shared" si="243"/>
        <v>Offline &amp;</v>
      </c>
      <c r="M239" s="3" t="str">
        <f t="shared" si="3"/>
        <v>Offline &amp;</v>
      </c>
      <c r="N239" s="3" t="str">
        <f>IFERROR(__xludf.DUMMYFUNCTION("SPLIT(M239,""&amp;"")"),"Offline ")</f>
        <v>Offline </v>
      </c>
      <c r="O239" s="3" t="str">
        <f t="shared" si="4"/>
        <v>Offline</v>
      </c>
      <c r="P239" s="3" t="str">
        <f t="shared" si="5"/>
        <v>Visitjodhpur</v>
      </c>
      <c r="Q239" s="3" t="str">
        <f t="shared" si="6"/>
        <v>Visitjodhpur</v>
      </c>
      <c r="R239" s="3">
        <f t="shared" si="7"/>
        <v>4566</v>
      </c>
    </row>
    <row r="240">
      <c r="A240" s="7" t="s">
        <v>125</v>
      </c>
      <c r="B240" s="8" t="s">
        <v>20</v>
      </c>
      <c r="C240" s="8">
        <v>96200.0</v>
      </c>
      <c r="E240" s="3" t="str">
        <f>IFERROR(__xludf.DUMMYFUNCTION("SPLIT(A240,""|"")")," VfS/Google Ads/20221213/visitJaisalmer/3455 ")</f>
        <v> VfS/Google Ads/20221213/visitJaisalmer/3455 </v>
      </c>
      <c r="F240" s="3" t="str">
        <f>IFERROR(__xludf.DUMMYFUNCTION("SPLIT(E240,""/"")")," VfS")</f>
        <v> VfS</v>
      </c>
      <c r="G240" s="3" t="str">
        <f>IFERROR(__xludf.DUMMYFUNCTION("""COMPUTED_VALUE"""),"Google Ads")</f>
        <v>Google Ads</v>
      </c>
      <c r="H240" s="3">
        <f>IFERROR(__xludf.DUMMYFUNCTION("""COMPUTED_VALUE"""),2.0221213E7)</f>
        <v>20221213</v>
      </c>
      <c r="I240" s="3" t="str">
        <f>IFERROR(__xludf.DUMMYFUNCTION("""COMPUTED_VALUE"""),"visitJaisalmer")</f>
        <v>visitJaisalmer</v>
      </c>
      <c r="J240" s="3">
        <f>IFERROR(__xludf.DUMMYFUNCTION("""COMPUTED_VALUE"""),3455.0)</f>
        <v>3455</v>
      </c>
      <c r="K240" s="3" t="str">
        <f t="shared" ref="K240:L240" si="244">TRIM(F240)</f>
        <v>VfS</v>
      </c>
      <c r="L240" s="3" t="str">
        <f t="shared" si="244"/>
        <v>Google Ads</v>
      </c>
      <c r="M240" s="3" t="str">
        <f t="shared" si="3"/>
        <v>Google Ads</v>
      </c>
      <c r="N240" s="3" t="str">
        <f>IFERROR(__xludf.DUMMYFUNCTION("SPLIT(M240,""&amp;"")"),"Google Ads")</f>
        <v>Google Ads</v>
      </c>
      <c r="O240" s="3" t="str">
        <f t="shared" si="4"/>
        <v>Google Ads</v>
      </c>
      <c r="P240" s="3" t="str">
        <f t="shared" si="5"/>
        <v>visitJaisalmer</v>
      </c>
      <c r="Q240" s="3" t="str">
        <f t="shared" si="6"/>
        <v>Visitjaisalmer</v>
      </c>
      <c r="R240" s="3">
        <f t="shared" si="7"/>
        <v>3455</v>
      </c>
    </row>
    <row r="241">
      <c r="A241" s="7" t="s">
        <v>126</v>
      </c>
      <c r="B241" s="8" t="s">
        <v>20</v>
      </c>
      <c r="C241" s="8">
        <v>60200.0</v>
      </c>
      <c r="E241" s="3" t="str">
        <f>IFERROR(__xludf.DUMMYFUNCTION("SPLIT(A241,""|"")")," VIN/TwiTter/20221216/visitbikaner/5666 ")</f>
        <v> VIN/TwiTter/20221216/visitbikaner/5666 </v>
      </c>
      <c r="F241" s="3" t="str">
        <f>IFERROR(__xludf.DUMMYFUNCTION("SPLIT(E241,""/"")")," VIN")</f>
        <v> VIN</v>
      </c>
      <c r="G241" s="3" t="str">
        <f>IFERROR(__xludf.DUMMYFUNCTION("""COMPUTED_VALUE"""),"TwiTter")</f>
        <v>TwiTter</v>
      </c>
      <c r="H241" s="3">
        <f>IFERROR(__xludf.DUMMYFUNCTION("""COMPUTED_VALUE"""),2.0221216E7)</f>
        <v>20221216</v>
      </c>
      <c r="I241" s="3" t="str">
        <f>IFERROR(__xludf.DUMMYFUNCTION("""COMPUTED_VALUE"""),"visitbikaner")</f>
        <v>visitbikaner</v>
      </c>
      <c r="J241" s="3">
        <f>IFERROR(__xludf.DUMMYFUNCTION("""COMPUTED_VALUE"""),5666.0)</f>
        <v>5666</v>
      </c>
      <c r="K241" s="3" t="str">
        <f t="shared" ref="K241:L241" si="245">TRIM(F241)</f>
        <v>VIN</v>
      </c>
      <c r="L241" s="3" t="str">
        <f t="shared" si="245"/>
        <v>TwiTter</v>
      </c>
      <c r="M241" s="3" t="str">
        <f t="shared" si="3"/>
        <v>Twitter</v>
      </c>
      <c r="N241" s="3" t="str">
        <f>IFERROR(__xludf.DUMMYFUNCTION("SPLIT(M241,""&amp;"")"),"Twitter")</f>
        <v>Twitter</v>
      </c>
      <c r="O241" s="3" t="str">
        <f t="shared" si="4"/>
        <v>Twitter</v>
      </c>
      <c r="P241" s="3" t="str">
        <f t="shared" si="5"/>
        <v>visitbikaner</v>
      </c>
      <c r="Q241" s="3" t="str">
        <f t="shared" si="6"/>
        <v>Visitbikaner</v>
      </c>
      <c r="R241" s="3">
        <f t="shared" si="7"/>
        <v>5666</v>
      </c>
    </row>
    <row r="242">
      <c r="A242" s="7" t="s">
        <v>157</v>
      </c>
      <c r="B242" s="8" t="s">
        <v>19</v>
      </c>
      <c r="C242" s="8">
        <v>92800.0</v>
      </c>
      <c r="E242" s="3" t="str">
        <f>IFERROR(__xludf.DUMMYFUNCTION("SPLIT(A242,""|"")")," NEFT/twitter/20221119/Visitjaipur/5676 ")</f>
        <v> NEFT/twitter/20221119/Visitjaipur/5676 </v>
      </c>
      <c r="F242" s="3" t="str">
        <f>IFERROR(__xludf.DUMMYFUNCTION("SPLIT(E242,""/"")")," NEFT")</f>
        <v> NEFT</v>
      </c>
      <c r="G242" s="3" t="str">
        <f>IFERROR(__xludf.DUMMYFUNCTION("""COMPUTED_VALUE"""),"twitter")</f>
        <v>twitter</v>
      </c>
      <c r="H242" s="3">
        <f>IFERROR(__xludf.DUMMYFUNCTION("""COMPUTED_VALUE"""),2.0221119E7)</f>
        <v>20221119</v>
      </c>
      <c r="I242" s="3" t="str">
        <f>IFERROR(__xludf.DUMMYFUNCTION("""COMPUTED_VALUE"""),"Visitjaipur")</f>
        <v>Visitjaipur</v>
      </c>
      <c r="J242" s="3">
        <f>IFERROR(__xludf.DUMMYFUNCTION("""COMPUTED_VALUE"""),5676.0)</f>
        <v>5676</v>
      </c>
      <c r="K242" s="3" t="str">
        <f t="shared" ref="K242:L242" si="246">TRIM(F242)</f>
        <v>NEFT</v>
      </c>
      <c r="L242" s="3" t="str">
        <f t="shared" si="246"/>
        <v>twitter</v>
      </c>
      <c r="M242" s="3" t="str">
        <f t="shared" si="3"/>
        <v>Twitter</v>
      </c>
      <c r="N242" s="3" t="str">
        <f>IFERROR(__xludf.DUMMYFUNCTION("SPLIT(M242,""&amp;"")"),"Twitter")</f>
        <v>Twitter</v>
      </c>
      <c r="O242" s="3" t="str">
        <f t="shared" si="4"/>
        <v>Twitter</v>
      </c>
      <c r="P242" s="3" t="str">
        <f t="shared" si="5"/>
        <v>Visitjaipur</v>
      </c>
      <c r="Q242" s="3" t="str">
        <f t="shared" si="6"/>
        <v>Visitjaipur</v>
      </c>
      <c r="R242" s="3">
        <f t="shared" si="7"/>
        <v>5676</v>
      </c>
    </row>
    <row r="243">
      <c r="A243" s="7" t="s">
        <v>128</v>
      </c>
      <c r="B243" s="8" t="s">
        <v>20</v>
      </c>
      <c r="C243" s="8">
        <v>18700.0</v>
      </c>
      <c r="E243" s="3" t="str">
        <f>IFERROR(__xludf.DUMMYFUNCTION("SPLIT(A243,""|"")")," CHQ/YouTube &amp;/20221222/Visitrajasthan/4564 ")</f>
        <v> CHQ/YouTube &amp;/20221222/Visitrajasthan/4564 </v>
      </c>
      <c r="F243" s="3" t="str">
        <f>IFERROR(__xludf.DUMMYFUNCTION("SPLIT(E243,""/"")")," CHQ")</f>
        <v> CHQ</v>
      </c>
      <c r="G243" s="3" t="str">
        <f>IFERROR(__xludf.DUMMYFUNCTION("""COMPUTED_VALUE"""),"YouTube &amp;")</f>
        <v>YouTube &amp;</v>
      </c>
      <c r="H243" s="3">
        <f>IFERROR(__xludf.DUMMYFUNCTION("""COMPUTED_VALUE"""),2.0221222E7)</f>
        <v>20221222</v>
      </c>
      <c r="I243" s="3" t="str">
        <f>IFERROR(__xludf.DUMMYFUNCTION("""COMPUTED_VALUE"""),"Visitrajasthan")</f>
        <v>Visitrajasthan</v>
      </c>
      <c r="J243" s="3">
        <f>IFERROR(__xludf.DUMMYFUNCTION("""COMPUTED_VALUE"""),4564.0)</f>
        <v>4564</v>
      </c>
      <c r="K243" s="3" t="str">
        <f t="shared" ref="K243:L243" si="247">TRIM(F243)</f>
        <v>CHQ</v>
      </c>
      <c r="L243" s="3" t="str">
        <f t="shared" si="247"/>
        <v>YouTube &amp;</v>
      </c>
      <c r="M243" s="3" t="str">
        <f t="shared" si="3"/>
        <v>Youtube &amp;</v>
      </c>
      <c r="N243" s="3" t="str">
        <f>IFERROR(__xludf.DUMMYFUNCTION("SPLIT(M243,""&amp;"")"),"Youtube ")</f>
        <v>Youtube </v>
      </c>
      <c r="O243" s="3" t="str">
        <f t="shared" si="4"/>
        <v>Youtube</v>
      </c>
      <c r="P243" s="3" t="str">
        <f t="shared" si="5"/>
        <v>Visitrajasthan</v>
      </c>
      <c r="Q243" s="3" t="str">
        <f t="shared" si="6"/>
        <v>Visitrajasthan</v>
      </c>
      <c r="R243" s="3">
        <f t="shared" si="7"/>
        <v>4564</v>
      </c>
    </row>
    <row r="244">
      <c r="A244" s="7" t="s">
        <v>129</v>
      </c>
      <c r="B244" s="8" t="s">
        <v>20</v>
      </c>
      <c r="C244" s="8">
        <v>29200.0</v>
      </c>
      <c r="E244" s="3" t="str">
        <f>IFERROR(__xludf.DUMMYFUNCTION("SPLIT(A244,""|"")")," VfS/Instagram/20221225/visitudaipur/4565 ")</f>
        <v> VfS/Instagram/20221225/visitudaipur/4565 </v>
      </c>
      <c r="F244" s="3" t="str">
        <f>IFERROR(__xludf.DUMMYFUNCTION("SPLIT(E244,""/"")")," VfS")</f>
        <v> VfS</v>
      </c>
      <c r="G244" s="3" t="str">
        <f>IFERROR(__xludf.DUMMYFUNCTION("""COMPUTED_VALUE"""),"Instagram")</f>
        <v>Instagram</v>
      </c>
      <c r="H244" s="3">
        <f>IFERROR(__xludf.DUMMYFUNCTION("""COMPUTED_VALUE"""),2.0221225E7)</f>
        <v>20221225</v>
      </c>
      <c r="I244" s="3" t="str">
        <f>IFERROR(__xludf.DUMMYFUNCTION("""COMPUTED_VALUE"""),"visitudaipur")</f>
        <v>visitudaipur</v>
      </c>
      <c r="J244" s="3">
        <f>IFERROR(__xludf.DUMMYFUNCTION("""COMPUTED_VALUE"""),4565.0)</f>
        <v>4565</v>
      </c>
      <c r="K244" s="3" t="str">
        <f t="shared" ref="K244:L244" si="248">TRIM(F244)</f>
        <v>VfS</v>
      </c>
      <c r="L244" s="3" t="str">
        <f t="shared" si="248"/>
        <v>Instagram</v>
      </c>
      <c r="M244" s="3" t="str">
        <f t="shared" si="3"/>
        <v>Instagram</v>
      </c>
      <c r="N244" s="3" t="str">
        <f>IFERROR(__xludf.DUMMYFUNCTION("SPLIT(M244,""&amp;"")"),"Instagram")</f>
        <v>Instagram</v>
      </c>
      <c r="O244" s="3" t="str">
        <f t="shared" si="4"/>
        <v>Instagram</v>
      </c>
      <c r="P244" s="3" t="str">
        <f t="shared" si="5"/>
        <v>visitudaipur</v>
      </c>
      <c r="Q244" s="3" t="str">
        <f t="shared" si="6"/>
        <v>Visitudaipur</v>
      </c>
      <c r="R244" s="3">
        <f t="shared" si="7"/>
        <v>4565</v>
      </c>
    </row>
    <row r="245">
      <c r="A245" s="7" t="s">
        <v>130</v>
      </c>
      <c r="B245" s="8" t="s">
        <v>20</v>
      </c>
      <c r="C245" s="8">
        <v>98800.0</v>
      </c>
      <c r="E245" s="3" t="str">
        <f>IFERROR(__xludf.DUMMYFUNCTION("SPLIT(A245,""|"")")," VIN/OfflINe &amp;/20221228/Visitjodhpur/4566 ")</f>
        <v> VIN/OfflINe &amp;/20221228/Visitjodhpur/4566 </v>
      </c>
      <c r="F245" s="3" t="str">
        <f>IFERROR(__xludf.DUMMYFUNCTION("SPLIT(E245,""/"")")," VIN")</f>
        <v> VIN</v>
      </c>
      <c r="G245" s="3" t="str">
        <f>IFERROR(__xludf.DUMMYFUNCTION("""COMPUTED_VALUE"""),"OfflINe &amp;")</f>
        <v>OfflINe &amp;</v>
      </c>
      <c r="H245" s="3">
        <f>IFERROR(__xludf.DUMMYFUNCTION("""COMPUTED_VALUE"""),2.0221228E7)</f>
        <v>20221228</v>
      </c>
      <c r="I245" s="3" t="str">
        <f>IFERROR(__xludf.DUMMYFUNCTION("""COMPUTED_VALUE"""),"Visitjodhpur")</f>
        <v>Visitjodhpur</v>
      </c>
      <c r="J245" s="3">
        <f>IFERROR(__xludf.DUMMYFUNCTION("""COMPUTED_VALUE"""),4566.0)</f>
        <v>4566</v>
      </c>
      <c r="K245" s="3" t="str">
        <f t="shared" ref="K245:L245" si="249">TRIM(F245)</f>
        <v>VIN</v>
      </c>
      <c r="L245" s="3" t="str">
        <f t="shared" si="249"/>
        <v>OfflINe &amp;</v>
      </c>
      <c r="M245" s="3" t="str">
        <f t="shared" si="3"/>
        <v>Offline &amp;</v>
      </c>
      <c r="N245" s="3" t="str">
        <f>IFERROR(__xludf.DUMMYFUNCTION("SPLIT(M245,""&amp;"")"),"Offline ")</f>
        <v>Offline </v>
      </c>
      <c r="O245" s="3" t="str">
        <f t="shared" si="4"/>
        <v>Offline</v>
      </c>
      <c r="P245" s="3" t="str">
        <f t="shared" si="5"/>
        <v>Visitjodhpur</v>
      </c>
      <c r="Q245" s="3" t="str">
        <f t="shared" si="6"/>
        <v>Visitjodhpur</v>
      </c>
      <c r="R245" s="3">
        <f t="shared" si="7"/>
        <v>4566</v>
      </c>
    </row>
    <row r="246">
      <c r="A246" s="7" t="s">
        <v>131</v>
      </c>
      <c r="B246" s="8" t="s">
        <v>6</v>
      </c>
      <c r="C246" s="8">
        <v>36700.0</v>
      </c>
      <c r="E246" s="3" t="str">
        <f>IFERROR(__xludf.DUMMYFUNCTION("SPLIT(A246,""|"")")," CHQ/Facebook/20221001/Visitjaipur/5676 ")</f>
        <v> CHQ/Facebook/20221001/Visitjaipur/5676 </v>
      </c>
      <c r="F246" s="3" t="str">
        <f>IFERROR(__xludf.DUMMYFUNCTION("SPLIT(E246,""/"")")," CHQ")</f>
        <v> CHQ</v>
      </c>
      <c r="G246" s="3" t="str">
        <f>IFERROR(__xludf.DUMMYFUNCTION("""COMPUTED_VALUE"""),"Facebook")</f>
        <v>Facebook</v>
      </c>
      <c r="H246" s="3">
        <f>IFERROR(__xludf.DUMMYFUNCTION("""COMPUTED_VALUE"""),2.0221001E7)</f>
        <v>20221001</v>
      </c>
      <c r="I246" s="3" t="str">
        <f>IFERROR(__xludf.DUMMYFUNCTION("""COMPUTED_VALUE"""),"Visitjaipur")</f>
        <v>Visitjaipur</v>
      </c>
      <c r="J246" s="3">
        <f>IFERROR(__xludf.DUMMYFUNCTION("""COMPUTED_VALUE"""),5676.0)</f>
        <v>5676</v>
      </c>
      <c r="K246" s="3" t="str">
        <f t="shared" ref="K246:L246" si="250">TRIM(F246)</f>
        <v>CHQ</v>
      </c>
      <c r="L246" s="3" t="str">
        <f t="shared" si="250"/>
        <v>Facebook</v>
      </c>
      <c r="M246" s="3" t="str">
        <f t="shared" si="3"/>
        <v>Facebook</v>
      </c>
      <c r="N246" s="3" t="str">
        <f>IFERROR(__xludf.DUMMYFUNCTION("SPLIT(M246,""&amp;"")"),"Facebook")</f>
        <v>Facebook</v>
      </c>
      <c r="O246" s="3" t="str">
        <f t="shared" si="4"/>
        <v>Facebook</v>
      </c>
      <c r="P246" s="3" t="str">
        <f t="shared" si="5"/>
        <v>Visitjaipur</v>
      </c>
      <c r="Q246" s="3" t="str">
        <f t="shared" si="6"/>
        <v>Visitjaipur</v>
      </c>
      <c r="R246" s="3">
        <f t="shared" si="7"/>
        <v>5676</v>
      </c>
    </row>
    <row r="247">
      <c r="A247" s="7" t="s">
        <v>132</v>
      </c>
      <c r="B247" s="8" t="s">
        <v>6</v>
      </c>
      <c r="C247" s="8">
        <v>43800.0</v>
      </c>
      <c r="E247" s="3" t="str">
        <f>IFERROR(__xludf.DUMMYFUNCTION("SPLIT(A247,""|"")")," VfS/YouTube/20221004/Visitrajasthan/4564 ")</f>
        <v> VfS/YouTube/20221004/Visitrajasthan/4564 </v>
      </c>
      <c r="F247" s="3" t="str">
        <f>IFERROR(__xludf.DUMMYFUNCTION("SPLIT(E247,""/"")")," VfS")</f>
        <v> VfS</v>
      </c>
      <c r="G247" s="3" t="str">
        <f>IFERROR(__xludf.DUMMYFUNCTION("""COMPUTED_VALUE"""),"YouTube")</f>
        <v>YouTube</v>
      </c>
      <c r="H247" s="3">
        <f>IFERROR(__xludf.DUMMYFUNCTION("""COMPUTED_VALUE"""),2.0221004E7)</f>
        <v>20221004</v>
      </c>
      <c r="I247" s="3" t="str">
        <f>IFERROR(__xludf.DUMMYFUNCTION("""COMPUTED_VALUE"""),"Visitrajasthan")</f>
        <v>Visitrajasthan</v>
      </c>
      <c r="J247" s="3">
        <f>IFERROR(__xludf.DUMMYFUNCTION("""COMPUTED_VALUE"""),4564.0)</f>
        <v>4564</v>
      </c>
      <c r="K247" s="3" t="str">
        <f t="shared" ref="K247:L247" si="251">TRIM(F247)</f>
        <v>VfS</v>
      </c>
      <c r="L247" s="3" t="str">
        <f t="shared" si="251"/>
        <v>YouTube</v>
      </c>
      <c r="M247" s="3" t="str">
        <f t="shared" si="3"/>
        <v>Youtube</v>
      </c>
      <c r="N247" s="3" t="str">
        <f>IFERROR(__xludf.DUMMYFUNCTION("SPLIT(M247,""&amp;"")"),"Youtube")</f>
        <v>Youtube</v>
      </c>
      <c r="O247" s="3" t="str">
        <f t="shared" si="4"/>
        <v>Youtube</v>
      </c>
      <c r="P247" s="3" t="str">
        <f t="shared" si="5"/>
        <v>Visitrajasthan</v>
      </c>
      <c r="Q247" s="3" t="str">
        <f t="shared" si="6"/>
        <v>Visitrajasthan</v>
      </c>
      <c r="R247" s="3">
        <f t="shared" si="7"/>
        <v>4564</v>
      </c>
    </row>
    <row r="248">
      <c r="A248" s="7" t="s">
        <v>133</v>
      </c>
      <c r="B248" s="8" t="s">
        <v>6</v>
      </c>
      <c r="C248" s="8">
        <v>67000.0</v>
      </c>
      <c r="E248" s="3" t="str">
        <f>IFERROR(__xludf.DUMMYFUNCTION("SPLIT(A248,""|"")")," NEFT/Instagram/20221007/visitudaipur/4565 ")</f>
        <v> NEFT/Instagram/20221007/visitudaipur/4565 </v>
      </c>
      <c r="F248" s="3" t="str">
        <f>IFERROR(__xludf.DUMMYFUNCTION("SPLIT(E248,""/"")")," NEFT")</f>
        <v> NEFT</v>
      </c>
      <c r="G248" s="3" t="str">
        <f>IFERROR(__xludf.DUMMYFUNCTION("""COMPUTED_VALUE"""),"Instagram")</f>
        <v>Instagram</v>
      </c>
      <c r="H248" s="3">
        <f>IFERROR(__xludf.DUMMYFUNCTION("""COMPUTED_VALUE"""),2.0221007E7)</f>
        <v>20221007</v>
      </c>
      <c r="I248" s="3" t="str">
        <f>IFERROR(__xludf.DUMMYFUNCTION("""COMPUTED_VALUE"""),"visitudaipur")</f>
        <v>visitudaipur</v>
      </c>
      <c r="J248" s="3">
        <f>IFERROR(__xludf.DUMMYFUNCTION("""COMPUTED_VALUE"""),4565.0)</f>
        <v>4565</v>
      </c>
      <c r="K248" s="3" t="str">
        <f t="shared" ref="K248:L248" si="252">TRIM(F248)</f>
        <v>NEFT</v>
      </c>
      <c r="L248" s="3" t="str">
        <f t="shared" si="252"/>
        <v>Instagram</v>
      </c>
      <c r="M248" s="3" t="str">
        <f t="shared" si="3"/>
        <v>Instagram</v>
      </c>
      <c r="N248" s="3" t="str">
        <f>IFERROR(__xludf.DUMMYFUNCTION("SPLIT(M248,""&amp;"")"),"Instagram")</f>
        <v>Instagram</v>
      </c>
      <c r="O248" s="3" t="str">
        <f t="shared" si="4"/>
        <v>Instagram</v>
      </c>
      <c r="P248" s="3" t="str">
        <f t="shared" si="5"/>
        <v>visitudaipur</v>
      </c>
      <c r="Q248" s="3" t="str">
        <f t="shared" si="6"/>
        <v>Visitudaipur</v>
      </c>
      <c r="R248" s="3">
        <f t="shared" si="7"/>
        <v>4565</v>
      </c>
    </row>
    <row r="249">
      <c r="A249" s="7" t="s">
        <v>134</v>
      </c>
      <c r="B249" s="8" t="s">
        <v>6</v>
      </c>
      <c r="C249" s="8">
        <v>75500.0</v>
      </c>
      <c r="E249" s="3" t="str">
        <f>IFERROR(__xludf.DUMMYFUNCTION("SPLIT(A249,""|"")")," CHQ/Offline &amp;/20221010/Visitjodhpur/4566 ")</f>
        <v> CHQ/Offline &amp;/20221010/Visitjodhpur/4566 </v>
      </c>
      <c r="F249" s="3" t="str">
        <f>IFERROR(__xludf.DUMMYFUNCTION("SPLIT(E249,""/"")")," CHQ")</f>
        <v> CHQ</v>
      </c>
      <c r="G249" s="3" t="str">
        <f>IFERROR(__xludf.DUMMYFUNCTION("""COMPUTED_VALUE"""),"Offline &amp;")</f>
        <v>Offline &amp;</v>
      </c>
      <c r="H249" s="3">
        <f>IFERROR(__xludf.DUMMYFUNCTION("""COMPUTED_VALUE"""),2.022101E7)</f>
        <v>20221010</v>
      </c>
      <c r="I249" s="3" t="str">
        <f>IFERROR(__xludf.DUMMYFUNCTION("""COMPUTED_VALUE"""),"Visitjodhpur")</f>
        <v>Visitjodhpur</v>
      </c>
      <c r="J249" s="3">
        <f>IFERROR(__xludf.DUMMYFUNCTION("""COMPUTED_VALUE"""),4566.0)</f>
        <v>4566</v>
      </c>
      <c r="K249" s="3" t="str">
        <f t="shared" ref="K249:L249" si="253">TRIM(F249)</f>
        <v>CHQ</v>
      </c>
      <c r="L249" s="3" t="str">
        <f t="shared" si="253"/>
        <v>Offline &amp;</v>
      </c>
      <c r="M249" s="3" t="str">
        <f t="shared" si="3"/>
        <v>Offline &amp;</v>
      </c>
      <c r="N249" s="3" t="str">
        <f>IFERROR(__xludf.DUMMYFUNCTION("SPLIT(M249,""&amp;"")"),"Offline ")</f>
        <v>Offline </v>
      </c>
      <c r="O249" s="3" t="str">
        <f t="shared" si="4"/>
        <v>Offline</v>
      </c>
      <c r="P249" s="3" t="str">
        <f t="shared" si="5"/>
        <v>Visitjodhpur</v>
      </c>
      <c r="Q249" s="3" t="str">
        <f t="shared" si="6"/>
        <v>Visitjodhpur</v>
      </c>
      <c r="R249" s="3">
        <f t="shared" si="7"/>
        <v>4566</v>
      </c>
    </row>
    <row r="250">
      <c r="A250" s="7" t="s">
        <v>151</v>
      </c>
      <c r="B250" s="8" t="s">
        <v>6</v>
      </c>
      <c r="C250" s="8">
        <v>66000.0</v>
      </c>
      <c r="E250" s="3" t="str">
        <f>IFERROR(__xludf.DUMMYFUNCTION("SPLIT(A250,""|"")")," VfS/Google Ads/20221013/visitJaisalmer/3455 ")</f>
        <v> VfS/Google Ads/20221013/visitJaisalmer/3455 </v>
      </c>
      <c r="F250" s="3" t="str">
        <f>IFERROR(__xludf.DUMMYFUNCTION("SPLIT(E250,""/"")")," VfS")</f>
        <v> VfS</v>
      </c>
      <c r="G250" s="3" t="str">
        <f>IFERROR(__xludf.DUMMYFUNCTION("""COMPUTED_VALUE"""),"Google Ads")</f>
        <v>Google Ads</v>
      </c>
      <c r="H250" s="3">
        <f>IFERROR(__xludf.DUMMYFUNCTION("""COMPUTED_VALUE"""),2.0221013E7)</f>
        <v>20221013</v>
      </c>
      <c r="I250" s="3" t="str">
        <f>IFERROR(__xludf.DUMMYFUNCTION("""COMPUTED_VALUE"""),"visitJaisalmer")</f>
        <v>visitJaisalmer</v>
      </c>
      <c r="J250" s="3">
        <f>IFERROR(__xludf.DUMMYFUNCTION("""COMPUTED_VALUE"""),3455.0)</f>
        <v>3455</v>
      </c>
      <c r="K250" s="3" t="str">
        <f t="shared" ref="K250:L250" si="254">TRIM(F250)</f>
        <v>VfS</v>
      </c>
      <c r="L250" s="3" t="str">
        <f t="shared" si="254"/>
        <v>Google Ads</v>
      </c>
      <c r="M250" s="3" t="str">
        <f t="shared" si="3"/>
        <v>Google Ads</v>
      </c>
      <c r="N250" s="3" t="str">
        <f>IFERROR(__xludf.DUMMYFUNCTION("SPLIT(M250,""&amp;"")"),"Google Ads")</f>
        <v>Google Ads</v>
      </c>
      <c r="O250" s="3" t="str">
        <f t="shared" si="4"/>
        <v>Google Ads</v>
      </c>
      <c r="P250" s="3" t="str">
        <f t="shared" si="5"/>
        <v>visitJaisalmer</v>
      </c>
      <c r="Q250" s="3" t="str">
        <f t="shared" si="6"/>
        <v>Visitjaisalmer</v>
      </c>
      <c r="R250" s="3">
        <f t="shared" si="7"/>
        <v>3455</v>
      </c>
    </row>
    <row r="251">
      <c r="A251" s="7" t="s">
        <v>136</v>
      </c>
      <c r="B251" s="8" t="s">
        <v>6</v>
      </c>
      <c r="C251" s="8">
        <v>50600.0</v>
      </c>
      <c r="E251" s="3" t="str">
        <f>IFERROR(__xludf.DUMMYFUNCTION("SPLIT(A251,""|"")")," VIN/TwiTter/20221016/visitbikaner/5666 ")</f>
        <v> VIN/TwiTter/20221016/visitbikaner/5666 </v>
      </c>
      <c r="F251" s="3" t="str">
        <f>IFERROR(__xludf.DUMMYFUNCTION("SPLIT(E251,""/"")")," VIN")</f>
        <v> VIN</v>
      </c>
      <c r="G251" s="3" t="str">
        <f>IFERROR(__xludf.DUMMYFUNCTION("""COMPUTED_VALUE"""),"TwiTter")</f>
        <v>TwiTter</v>
      </c>
      <c r="H251" s="3">
        <f>IFERROR(__xludf.DUMMYFUNCTION("""COMPUTED_VALUE"""),2.0221016E7)</f>
        <v>20221016</v>
      </c>
      <c r="I251" s="3" t="str">
        <f>IFERROR(__xludf.DUMMYFUNCTION("""COMPUTED_VALUE"""),"visitbikaner")</f>
        <v>visitbikaner</v>
      </c>
      <c r="J251" s="3">
        <f>IFERROR(__xludf.DUMMYFUNCTION("""COMPUTED_VALUE"""),5666.0)</f>
        <v>5666</v>
      </c>
      <c r="K251" s="3" t="str">
        <f t="shared" ref="K251:L251" si="255">TRIM(F251)</f>
        <v>VIN</v>
      </c>
      <c r="L251" s="3" t="str">
        <f t="shared" si="255"/>
        <v>TwiTter</v>
      </c>
      <c r="M251" s="3" t="str">
        <f t="shared" si="3"/>
        <v>Twitter</v>
      </c>
      <c r="N251" s="3" t="str">
        <f>IFERROR(__xludf.DUMMYFUNCTION("SPLIT(M251,""&amp;"")"),"Twitter")</f>
        <v>Twitter</v>
      </c>
      <c r="O251" s="3" t="str">
        <f t="shared" si="4"/>
        <v>Twitter</v>
      </c>
      <c r="P251" s="3" t="str">
        <f t="shared" si="5"/>
        <v>visitbikaner</v>
      </c>
      <c r="Q251" s="3" t="str">
        <f t="shared" si="6"/>
        <v>Visitbikaner</v>
      </c>
      <c r="R251" s="3">
        <f t="shared" si="7"/>
        <v>5666</v>
      </c>
    </row>
    <row r="252">
      <c r="A252" s="7" t="s">
        <v>137</v>
      </c>
      <c r="B252" s="8" t="s">
        <v>6</v>
      </c>
      <c r="C252" s="8">
        <v>84200.0</v>
      </c>
      <c r="E252" s="3" t="str">
        <f>IFERROR(__xludf.DUMMYFUNCTION("SPLIT(A252,""|"")")," NEFT/Facebook/20221019/Visitjaipur/5676 ")</f>
        <v> NEFT/Facebook/20221019/Visitjaipur/5676 </v>
      </c>
      <c r="F252" s="3" t="str">
        <f>IFERROR(__xludf.DUMMYFUNCTION("SPLIT(E252,""/"")")," NEFT")</f>
        <v> NEFT</v>
      </c>
      <c r="G252" s="3" t="str">
        <f>IFERROR(__xludf.DUMMYFUNCTION("""COMPUTED_VALUE"""),"Facebook")</f>
        <v>Facebook</v>
      </c>
      <c r="H252" s="3">
        <f>IFERROR(__xludf.DUMMYFUNCTION("""COMPUTED_VALUE"""),2.0221019E7)</f>
        <v>20221019</v>
      </c>
      <c r="I252" s="3" t="str">
        <f>IFERROR(__xludf.DUMMYFUNCTION("""COMPUTED_VALUE"""),"Visitjaipur")</f>
        <v>Visitjaipur</v>
      </c>
      <c r="J252" s="3">
        <f>IFERROR(__xludf.DUMMYFUNCTION("""COMPUTED_VALUE"""),5676.0)</f>
        <v>5676</v>
      </c>
      <c r="K252" s="3" t="str">
        <f t="shared" ref="K252:L252" si="256">TRIM(F252)</f>
        <v>NEFT</v>
      </c>
      <c r="L252" s="3" t="str">
        <f t="shared" si="256"/>
        <v>Facebook</v>
      </c>
      <c r="M252" s="3" t="str">
        <f t="shared" si="3"/>
        <v>Facebook</v>
      </c>
      <c r="N252" s="3" t="str">
        <f>IFERROR(__xludf.DUMMYFUNCTION("SPLIT(M252,""&amp;"")"),"Facebook")</f>
        <v>Facebook</v>
      </c>
      <c r="O252" s="3" t="str">
        <f t="shared" si="4"/>
        <v>Facebook</v>
      </c>
      <c r="P252" s="3" t="str">
        <f t="shared" si="5"/>
        <v>Visitjaipur</v>
      </c>
      <c r="Q252" s="3" t="str">
        <f t="shared" si="6"/>
        <v>Visitjaipur</v>
      </c>
      <c r="R252" s="3">
        <f t="shared" si="7"/>
        <v>5676</v>
      </c>
    </row>
    <row r="253">
      <c r="A253" s="7" t="s">
        <v>138</v>
      </c>
      <c r="B253" s="8" t="s">
        <v>6</v>
      </c>
      <c r="C253" s="8">
        <v>98000.0</v>
      </c>
      <c r="E253" s="3" t="str">
        <f>IFERROR(__xludf.DUMMYFUNCTION("SPLIT(A253,""|"")")," CHQ/YouTube &amp;/20221022/Visitrajasthan/4564 ")</f>
        <v> CHQ/YouTube &amp;/20221022/Visitrajasthan/4564 </v>
      </c>
      <c r="F253" s="3" t="str">
        <f>IFERROR(__xludf.DUMMYFUNCTION("SPLIT(E253,""/"")")," CHQ")</f>
        <v> CHQ</v>
      </c>
      <c r="G253" s="3" t="str">
        <f>IFERROR(__xludf.DUMMYFUNCTION("""COMPUTED_VALUE"""),"YouTube &amp;")</f>
        <v>YouTube &amp;</v>
      </c>
      <c r="H253" s="3">
        <f>IFERROR(__xludf.DUMMYFUNCTION("""COMPUTED_VALUE"""),2.0221022E7)</f>
        <v>20221022</v>
      </c>
      <c r="I253" s="3" t="str">
        <f>IFERROR(__xludf.DUMMYFUNCTION("""COMPUTED_VALUE"""),"Visitrajasthan")</f>
        <v>Visitrajasthan</v>
      </c>
      <c r="J253" s="3">
        <f>IFERROR(__xludf.DUMMYFUNCTION("""COMPUTED_VALUE"""),4564.0)</f>
        <v>4564</v>
      </c>
      <c r="K253" s="3" t="str">
        <f t="shared" ref="K253:L253" si="257">TRIM(F253)</f>
        <v>CHQ</v>
      </c>
      <c r="L253" s="3" t="str">
        <f t="shared" si="257"/>
        <v>YouTube &amp;</v>
      </c>
      <c r="M253" s="3" t="str">
        <f t="shared" si="3"/>
        <v>Youtube &amp;</v>
      </c>
      <c r="N253" s="3" t="str">
        <f>IFERROR(__xludf.DUMMYFUNCTION("SPLIT(M253,""&amp;"")"),"Youtube ")</f>
        <v>Youtube </v>
      </c>
      <c r="O253" s="3" t="str">
        <f t="shared" si="4"/>
        <v>Youtube</v>
      </c>
      <c r="P253" s="3" t="str">
        <f t="shared" si="5"/>
        <v>Visitrajasthan</v>
      </c>
      <c r="Q253" s="3" t="str">
        <f t="shared" si="6"/>
        <v>Visitrajasthan</v>
      </c>
      <c r="R253" s="3">
        <f t="shared" si="7"/>
        <v>4564</v>
      </c>
    </row>
    <row r="254">
      <c r="A254" s="7" t="s">
        <v>139</v>
      </c>
      <c r="B254" s="8" t="s">
        <v>6</v>
      </c>
      <c r="C254" s="8">
        <v>14000.0</v>
      </c>
      <c r="E254" s="3" t="str">
        <f>IFERROR(__xludf.DUMMYFUNCTION("SPLIT(A254,""|"")")," VfS/Instagram/20221025/visitudaipur/4565 ")</f>
        <v> VfS/Instagram/20221025/visitudaipur/4565 </v>
      </c>
      <c r="F254" s="3" t="str">
        <f>IFERROR(__xludf.DUMMYFUNCTION("SPLIT(E254,""/"")")," VfS")</f>
        <v> VfS</v>
      </c>
      <c r="G254" s="3" t="str">
        <f>IFERROR(__xludf.DUMMYFUNCTION("""COMPUTED_VALUE"""),"Instagram")</f>
        <v>Instagram</v>
      </c>
      <c r="H254" s="3">
        <f>IFERROR(__xludf.DUMMYFUNCTION("""COMPUTED_VALUE"""),2.0221025E7)</f>
        <v>20221025</v>
      </c>
      <c r="I254" s="3" t="str">
        <f>IFERROR(__xludf.DUMMYFUNCTION("""COMPUTED_VALUE"""),"visitudaipur")</f>
        <v>visitudaipur</v>
      </c>
      <c r="J254" s="3">
        <f>IFERROR(__xludf.DUMMYFUNCTION("""COMPUTED_VALUE"""),4565.0)</f>
        <v>4565</v>
      </c>
      <c r="K254" s="3" t="str">
        <f t="shared" ref="K254:L254" si="258">TRIM(F254)</f>
        <v>VfS</v>
      </c>
      <c r="L254" s="3" t="str">
        <f t="shared" si="258"/>
        <v>Instagram</v>
      </c>
      <c r="M254" s="3" t="str">
        <f t="shared" si="3"/>
        <v>Instagram</v>
      </c>
      <c r="N254" s="3" t="str">
        <f>IFERROR(__xludf.DUMMYFUNCTION("SPLIT(M254,""&amp;"")"),"Instagram")</f>
        <v>Instagram</v>
      </c>
      <c r="O254" s="3" t="str">
        <f t="shared" si="4"/>
        <v>Instagram</v>
      </c>
      <c r="P254" s="3" t="str">
        <f t="shared" si="5"/>
        <v>visitudaipur</v>
      </c>
      <c r="Q254" s="3" t="str">
        <f t="shared" si="6"/>
        <v>Visitudaipur</v>
      </c>
      <c r="R254" s="3">
        <f t="shared" si="7"/>
        <v>4565</v>
      </c>
    </row>
    <row r="255">
      <c r="A255" s="7" t="s">
        <v>140</v>
      </c>
      <c r="B255" s="8" t="s">
        <v>6</v>
      </c>
      <c r="C255" s="8">
        <v>20900.0</v>
      </c>
      <c r="E255" s="3" t="str">
        <f>IFERROR(__xludf.DUMMYFUNCTION("SPLIT(A255,""|"")")," VIN/OfflINe &amp;/20221028/Visitjodhpur/4566 ")</f>
        <v> VIN/OfflINe &amp;/20221028/Visitjodhpur/4566 </v>
      </c>
      <c r="F255" s="3" t="str">
        <f>IFERROR(__xludf.DUMMYFUNCTION("SPLIT(E255,""/"")")," VIN")</f>
        <v> VIN</v>
      </c>
      <c r="G255" s="3" t="str">
        <f>IFERROR(__xludf.DUMMYFUNCTION("""COMPUTED_VALUE"""),"OfflINe &amp;")</f>
        <v>OfflINe &amp;</v>
      </c>
      <c r="H255" s="3">
        <f>IFERROR(__xludf.DUMMYFUNCTION("""COMPUTED_VALUE"""),2.0221028E7)</f>
        <v>20221028</v>
      </c>
      <c r="I255" s="3" t="str">
        <f>IFERROR(__xludf.DUMMYFUNCTION("""COMPUTED_VALUE"""),"Visitjodhpur")</f>
        <v>Visitjodhpur</v>
      </c>
      <c r="J255" s="3">
        <f>IFERROR(__xludf.DUMMYFUNCTION("""COMPUTED_VALUE"""),4566.0)</f>
        <v>4566</v>
      </c>
      <c r="K255" s="3" t="str">
        <f t="shared" ref="K255:L255" si="259">TRIM(F255)</f>
        <v>VIN</v>
      </c>
      <c r="L255" s="3" t="str">
        <f t="shared" si="259"/>
        <v>OfflINe &amp;</v>
      </c>
      <c r="M255" s="3" t="str">
        <f t="shared" si="3"/>
        <v>Offline &amp;</v>
      </c>
      <c r="N255" s="3" t="str">
        <f>IFERROR(__xludf.DUMMYFUNCTION("SPLIT(M255,""&amp;"")"),"Offline ")</f>
        <v>Offline </v>
      </c>
      <c r="O255" s="3" t="str">
        <f t="shared" si="4"/>
        <v>Offline</v>
      </c>
      <c r="P255" s="3" t="str">
        <f t="shared" si="5"/>
        <v>Visitjodhpur</v>
      </c>
      <c r="Q255" s="3" t="str">
        <f t="shared" si="6"/>
        <v>Visitjodhpur</v>
      </c>
      <c r="R255" s="3">
        <f t="shared" si="7"/>
        <v>4566</v>
      </c>
    </row>
    <row r="256">
      <c r="A256" s="7" t="s">
        <v>141</v>
      </c>
      <c r="B256" s="8" t="s">
        <v>19</v>
      </c>
      <c r="C256" s="8">
        <v>54500.0</v>
      </c>
      <c r="E256" s="3" t="str">
        <f>IFERROR(__xludf.DUMMYFUNCTION("SPLIT(A256,""|"")")," CHQ/Facebook/20221101/Visitjaipur/5676 ")</f>
        <v> CHQ/Facebook/20221101/Visitjaipur/5676 </v>
      </c>
      <c r="F256" s="3" t="str">
        <f>IFERROR(__xludf.DUMMYFUNCTION("SPLIT(E256,""/"")")," CHQ")</f>
        <v> CHQ</v>
      </c>
      <c r="G256" s="3" t="str">
        <f>IFERROR(__xludf.DUMMYFUNCTION("""COMPUTED_VALUE"""),"Facebook")</f>
        <v>Facebook</v>
      </c>
      <c r="H256" s="3">
        <f>IFERROR(__xludf.DUMMYFUNCTION("""COMPUTED_VALUE"""),2.0221101E7)</f>
        <v>20221101</v>
      </c>
      <c r="I256" s="3" t="str">
        <f>IFERROR(__xludf.DUMMYFUNCTION("""COMPUTED_VALUE"""),"Visitjaipur")</f>
        <v>Visitjaipur</v>
      </c>
      <c r="J256" s="3">
        <f>IFERROR(__xludf.DUMMYFUNCTION("""COMPUTED_VALUE"""),5676.0)</f>
        <v>5676</v>
      </c>
      <c r="K256" s="3" t="str">
        <f t="shared" ref="K256:L256" si="260">TRIM(F256)</f>
        <v>CHQ</v>
      </c>
      <c r="L256" s="3" t="str">
        <f t="shared" si="260"/>
        <v>Facebook</v>
      </c>
      <c r="M256" s="3" t="str">
        <f t="shared" si="3"/>
        <v>Facebook</v>
      </c>
      <c r="N256" s="3" t="str">
        <f>IFERROR(__xludf.DUMMYFUNCTION("SPLIT(M256,""&amp;"")"),"Facebook")</f>
        <v>Facebook</v>
      </c>
      <c r="O256" s="3" t="str">
        <f t="shared" si="4"/>
        <v>Facebook</v>
      </c>
      <c r="P256" s="3" t="str">
        <f t="shared" si="5"/>
        <v>Visitjaipur</v>
      </c>
      <c r="Q256" s="3" t="str">
        <f t="shared" si="6"/>
        <v>Visitjaipur</v>
      </c>
      <c r="R256" s="3">
        <f t="shared" si="7"/>
        <v>5676</v>
      </c>
    </row>
    <row r="257">
      <c r="A257" s="7" t="s">
        <v>142</v>
      </c>
      <c r="B257" s="8" t="s">
        <v>19</v>
      </c>
      <c r="C257" s="8">
        <v>56100.0</v>
      </c>
      <c r="E257" s="3" t="str">
        <f>IFERROR(__xludf.DUMMYFUNCTION("SPLIT(A257,""|"")")," VfS/YouTube/20221104/Visitrajasthan/4564 ")</f>
        <v> VfS/YouTube/20221104/Visitrajasthan/4564 </v>
      </c>
      <c r="F257" s="3" t="str">
        <f>IFERROR(__xludf.DUMMYFUNCTION("SPLIT(E257,""/"")")," VfS")</f>
        <v> VfS</v>
      </c>
      <c r="G257" s="3" t="str">
        <f>IFERROR(__xludf.DUMMYFUNCTION("""COMPUTED_VALUE"""),"YouTube")</f>
        <v>YouTube</v>
      </c>
      <c r="H257" s="3">
        <f>IFERROR(__xludf.DUMMYFUNCTION("""COMPUTED_VALUE"""),2.0221104E7)</f>
        <v>20221104</v>
      </c>
      <c r="I257" s="3" t="str">
        <f>IFERROR(__xludf.DUMMYFUNCTION("""COMPUTED_VALUE"""),"Visitrajasthan")</f>
        <v>Visitrajasthan</v>
      </c>
      <c r="J257" s="3">
        <f>IFERROR(__xludf.DUMMYFUNCTION("""COMPUTED_VALUE"""),4564.0)</f>
        <v>4564</v>
      </c>
      <c r="K257" s="3" t="str">
        <f t="shared" ref="K257:L257" si="261">TRIM(F257)</f>
        <v>VfS</v>
      </c>
      <c r="L257" s="3" t="str">
        <f t="shared" si="261"/>
        <v>YouTube</v>
      </c>
      <c r="M257" s="3" t="str">
        <f t="shared" si="3"/>
        <v>Youtube</v>
      </c>
      <c r="N257" s="3" t="str">
        <f>IFERROR(__xludf.DUMMYFUNCTION("SPLIT(M257,""&amp;"")"),"Youtube")</f>
        <v>Youtube</v>
      </c>
      <c r="O257" s="3" t="str">
        <f t="shared" si="4"/>
        <v>Youtube</v>
      </c>
      <c r="P257" s="3" t="str">
        <f t="shared" si="5"/>
        <v>Visitrajasthan</v>
      </c>
      <c r="Q257" s="3" t="str">
        <f t="shared" si="6"/>
        <v>Visitrajasthan</v>
      </c>
      <c r="R257" s="3">
        <f t="shared" si="7"/>
        <v>4564</v>
      </c>
    </row>
    <row r="258">
      <c r="A258" s="7" t="s">
        <v>143</v>
      </c>
      <c r="B258" s="8" t="s">
        <v>19</v>
      </c>
      <c r="C258" s="8">
        <v>96700.0</v>
      </c>
      <c r="E258" s="3" t="str">
        <f>IFERROR(__xludf.DUMMYFUNCTION("SPLIT(A258,""|"")")," NEFT/Instagram/20221107/visitudaipur/4565 ")</f>
        <v> NEFT/Instagram/20221107/visitudaipur/4565 </v>
      </c>
      <c r="F258" s="3" t="str">
        <f>IFERROR(__xludf.DUMMYFUNCTION("SPLIT(E258,""/"")")," NEFT")</f>
        <v> NEFT</v>
      </c>
      <c r="G258" s="3" t="str">
        <f>IFERROR(__xludf.DUMMYFUNCTION("""COMPUTED_VALUE"""),"Instagram")</f>
        <v>Instagram</v>
      </c>
      <c r="H258" s="3">
        <f>IFERROR(__xludf.DUMMYFUNCTION("""COMPUTED_VALUE"""),2.0221107E7)</f>
        <v>20221107</v>
      </c>
      <c r="I258" s="3" t="str">
        <f>IFERROR(__xludf.DUMMYFUNCTION("""COMPUTED_VALUE"""),"visitudaipur")</f>
        <v>visitudaipur</v>
      </c>
      <c r="J258" s="3">
        <f>IFERROR(__xludf.DUMMYFUNCTION("""COMPUTED_VALUE"""),4565.0)</f>
        <v>4565</v>
      </c>
      <c r="K258" s="3" t="str">
        <f t="shared" ref="K258:L258" si="262">TRIM(F258)</f>
        <v>NEFT</v>
      </c>
      <c r="L258" s="3" t="str">
        <f t="shared" si="262"/>
        <v>Instagram</v>
      </c>
      <c r="M258" s="3" t="str">
        <f t="shared" si="3"/>
        <v>Instagram</v>
      </c>
      <c r="N258" s="3" t="str">
        <f>IFERROR(__xludf.DUMMYFUNCTION("SPLIT(M258,""&amp;"")"),"Instagram")</f>
        <v>Instagram</v>
      </c>
      <c r="O258" s="3" t="str">
        <f t="shared" si="4"/>
        <v>Instagram</v>
      </c>
      <c r="P258" s="3" t="str">
        <f t="shared" si="5"/>
        <v>visitudaipur</v>
      </c>
      <c r="Q258" s="3" t="str">
        <f t="shared" si="6"/>
        <v>Visitudaipur</v>
      </c>
      <c r="R258" s="3">
        <f t="shared" si="7"/>
        <v>4565</v>
      </c>
    </row>
    <row r="259">
      <c r="A259" s="7" t="s">
        <v>144</v>
      </c>
      <c r="B259" s="8" t="s">
        <v>19</v>
      </c>
      <c r="C259" s="8">
        <v>39800.0</v>
      </c>
      <c r="E259" s="3" t="str">
        <f>IFERROR(__xludf.DUMMYFUNCTION("SPLIT(A259,""|"")")," CHQ/Offline &amp;/20221110/Visitjodhpur/4566 ")</f>
        <v> CHQ/Offline &amp;/20221110/Visitjodhpur/4566 </v>
      </c>
      <c r="F259" s="3" t="str">
        <f>IFERROR(__xludf.DUMMYFUNCTION("SPLIT(E259,""/"")")," CHQ")</f>
        <v> CHQ</v>
      </c>
      <c r="G259" s="3" t="str">
        <f>IFERROR(__xludf.DUMMYFUNCTION("""COMPUTED_VALUE"""),"Offline &amp;")</f>
        <v>Offline &amp;</v>
      </c>
      <c r="H259" s="3">
        <f>IFERROR(__xludf.DUMMYFUNCTION("""COMPUTED_VALUE"""),2.022111E7)</f>
        <v>20221110</v>
      </c>
      <c r="I259" s="3" t="str">
        <f>IFERROR(__xludf.DUMMYFUNCTION("""COMPUTED_VALUE"""),"Visitjodhpur")</f>
        <v>Visitjodhpur</v>
      </c>
      <c r="J259" s="3">
        <f>IFERROR(__xludf.DUMMYFUNCTION("""COMPUTED_VALUE"""),4566.0)</f>
        <v>4566</v>
      </c>
      <c r="K259" s="3" t="str">
        <f t="shared" ref="K259:L259" si="263">TRIM(F259)</f>
        <v>CHQ</v>
      </c>
      <c r="L259" s="3" t="str">
        <f t="shared" si="263"/>
        <v>Offline &amp;</v>
      </c>
      <c r="M259" s="3" t="str">
        <f t="shared" si="3"/>
        <v>Offline &amp;</v>
      </c>
      <c r="N259" s="3" t="str">
        <f>IFERROR(__xludf.DUMMYFUNCTION("SPLIT(M259,""&amp;"")"),"Offline ")</f>
        <v>Offline </v>
      </c>
      <c r="O259" s="3" t="str">
        <f t="shared" si="4"/>
        <v>Offline</v>
      </c>
      <c r="P259" s="3" t="str">
        <f t="shared" si="5"/>
        <v>Visitjodhpur</v>
      </c>
      <c r="Q259" s="3" t="str">
        <f t="shared" si="6"/>
        <v>Visitjodhpur</v>
      </c>
      <c r="R259" s="3">
        <f t="shared" si="7"/>
        <v>4566</v>
      </c>
    </row>
    <row r="260">
      <c r="A260" s="7" t="s">
        <v>145</v>
      </c>
      <c r="B260" s="8" t="s">
        <v>19</v>
      </c>
      <c r="C260" s="8">
        <v>36500.0</v>
      </c>
      <c r="E260" s="3" t="str">
        <f>IFERROR(__xludf.DUMMYFUNCTION("SPLIT(A260,""|"")")," VfS/Google Ads/20221113/visitJaisalmer/3455 ")</f>
        <v> VfS/Google Ads/20221113/visitJaisalmer/3455 </v>
      </c>
      <c r="F260" s="3" t="str">
        <f>IFERROR(__xludf.DUMMYFUNCTION("SPLIT(E260,""/"")")," VfS")</f>
        <v> VfS</v>
      </c>
      <c r="G260" s="3" t="str">
        <f>IFERROR(__xludf.DUMMYFUNCTION("""COMPUTED_VALUE"""),"Google Ads")</f>
        <v>Google Ads</v>
      </c>
      <c r="H260" s="3">
        <f>IFERROR(__xludf.DUMMYFUNCTION("""COMPUTED_VALUE"""),2.0221113E7)</f>
        <v>20221113</v>
      </c>
      <c r="I260" s="3" t="str">
        <f>IFERROR(__xludf.DUMMYFUNCTION("""COMPUTED_VALUE"""),"visitJaisalmer")</f>
        <v>visitJaisalmer</v>
      </c>
      <c r="J260" s="3">
        <f>IFERROR(__xludf.DUMMYFUNCTION("""COMPUTED_VALUE"""),3455.0)</f>
        <v>3455</v>
      </c>
      <c r="K260" s="3" t="str">
        <f t="shared" ref="K260:L260" si="264">TRIM(F260)</f>
        <v>VfS</v>
      </c>
      <c r="L260" s="3" t="str">
        <f t="shared" si="264"/>
        <v>Google Ads</v>
      </c>
      <c r="M260" s="3" t="str">
        <f t="shared" si="3"/>
        <v>Google Ads</v>
      </c>
      <c r="N260" s="3" t="str">
        <f>IFERROR(__xludf.DUMMYFUNCTION("SPLIT(M260,""&amp;"")"),"Google Ads")</f>
        <v>Google Ads</v>
      </c>
      <c r="O260" s="3" t="str">
        <f t="shared" si="4"/>
        <v>Google Ads</v>
      </c>
      <c r="P260" s="3" t="str">
        <f t="shared" si="5"/>
        <v>visitJaisalmer</v>
      </c>
      <c r="Q260" s="3" t="str">
        <f t="shared" si="6"/>
        <v>Visitjaisalmer</v>
      </c>
      <c r="R260" s="3">
        <f t="shared" si="7"/>
        <v>3455</v>
      </c>
    </row>
    <row r="261">
      <c r="A261" s="7" t="s">
        <v>146</v>
      </c>
      <c r="B261" s="8" t="s">
        <v>19</v>
      </c>
      <c r="C261" s="8">
        <v>49200.0</v>
      </c>
      <c r="E261" s="3" t="str">
        <f>IFERROR(__xludf.DUMMYFUNCTION("SPLIT(A261,""|"")")," VIN/TwiTter/20221116/visitbikaner/5666 ")</f>
        <v> VIN/TwiTter/20221116/visitbikaner/5666 </v>
      </c>
      <c r="F261" s="3" t="str">
        <f>IFERROR(__xludf.DUMMYFUNCTION("SPLIT(E261,""/"")")," VIN")</f>
        <v> VIN</v>
      </c>
      <c r="G261" s="3" t="str">
        <f>IFERROR(__xludf.DUMMYFUNCTION("""COMPUTED_VALUE"""),"TwiTter")</f>
        <v>TwiTter</v>
      </c>
      <c r="H261" s="3">
        <f>IFERROR(__xludf.DUMMYFUNCTION("""COMPUTED_VALUE"""),2.0221116E7)</f>
        <v>20221116</v>
      </c>
      <c r="I261" s="3" t="str">
        <f>IFERROR(__xludf.DUMMYFUNCTION("""COMPUTED_VALUE"""),"visitbikaner")</f>
        <v>visitbikaner</v>
      </c>
      <c r="J261" s="3">
        <f>IFERROR(__xludf.DUMMYFUNCTION("""COMPUTED_VALUE"""),5666.0)</f>
        <v>5666</v>
      </c>
      <c r="K261" s="3" t="str">
        <f t="shared" ref="K261:L261" si="265">TRIM(F261)</f>
        <v>VIN</v>
      </c>
      <c r="L261" s="3" t="str">
        <f t="shared" si="265"/>
        <v>TwiTter</v>
      </c>
      <c r="M261" s="3" t="str">
        <f t="shared" si="3"/>
        <v>Twitter</v>
      </c>
      <c r="N261" s="3" t="str">
        <f>IFERROR(__xludf.DUMMYFUNCTION("SPLIT(M261,""&amp;"")"),"Twitter")</f>
        <v>Twitter</v>
      </c>
      <c r="O261" s="3" t="str">
        <f t="shared" si="4"/>
        <v>Twitter</v>
      </c>
      <c r="P261" s="3" t="str">
        <f t="shared" si="5"/>
        <v>visitbikaner</v>
      </c>
      <c r="Q261" s="3" t="str">
        <f t="shared" si="6"/>
        <v>Visitbikaner</v>
      </c>
      <c r="R261" s="3">
        <f t="shared" si="7"/>
        <v>5666</v>
      </c>
    </row>
    <row r="262">
      <c r="A262" s="7" t="s">
        <v>147</v>
      </c>
      <c r="B262" s="8" t="s">
        <v>19</v>
      </c>
      <c r="C262" s="8">
        <v>91600.0</v>
      </c>
      <c r="E262" s="3" t="str">
        <f>IFERROR(__xludf.DUMMYFUNCTION("SPLIT(A262,""|"")")," NEFT/Facebook/20221119/Visitjaipur/5676 ")</f>
        <v> NEFT/Facebook/20221119/Visitjaipur/5676 </v>
      </c>
      <c r="F262" s="3" t="str">
        <f>IFERROR(__xludf.DUMMYFUNCTION("SPLIT(E262,""/"")")," NEFT")</f>
        <v> NEFT</v>
      </c>
      <c r="G262" s="3" t="str">
        <f>IFERROR(__xludf.DUMMYFUNCTION("""COMPUTED_VALUE"""),"Facebook")</f>
        <v>Facebook</v>
      </c>
      <c r="H262" s="3">
        <f>IFERROR(__xludf.DUMMYFUNCTION("""COMPUTED_VALUE"""),2.0221119E7)</f>
        <v>20221119</v>
      </c>
      <c r="I262" s="3" t="str">
        <f>IFERROR(__xludf.DUMMYFUNCTION("""COMPUTED_VALUE"""),"Visitjaipur")</f>
        <v>Visitjaipur</v>
      </c>
      <c r="J262" s="3">
        <f>IFERROR(__xludf.DUMMYFUNCTION("""COMPUTED_VALUE"""),5676.0)</f>
        <v>5676</v>
      </c>
      <c r="K262" s="3" t="str">
        <f t="shared" ref="K262:L262" si="266">TRIM(F262)</f>
        <v>NEFT</v>
      </c>
      <c r="L262" s="3" t="str">
        <f t="shared" si="266"/>
        <v>Facebook</v>
      </c>
      <c r="M262" s="3" t="str">
        <f t="shared" si="3"/>
        <v>Facebook</v>
      </c>
      <c r="N262" s="3" t="str">
        <f>IFERROR(__xludf.DUMMYFUNCTION("SPLIT(M262,""&amp;"")"),"Facebook")</f>
        <v>Facebook</v>
      </c>
      <c r="O262" s="3" t="str">
        <f t="shared" si="4"/>
        <v>Facebook</v>
      </c>
      <c r="P262" s="3" t="str">
        <f t="shared" si="5"/>
        <v>Visitjaipur</v>
      </c>
      <c r="Q262" s="3" t="str">
        <f t="shared" si="6"/>
        <v>Visitjaipur</v>
      </c>
      <c r="R262" s="3">
        <f t="shared" si="7"/>
        <v>5676</v>
      </c>
    </row>
    <row r="263">
      <c r="A263" s="7" t="s">
        <v>148</v>
      </c>
      <c r="B263" s="8" t="s">
        <v>19</v>
      </c>
      <c r="C263" s="8">
        <v>54500.0</v>
      </c>
      <c r="E263" s="3" t="str">
        <f>IFERROR(__xludf.DUMMYFUNCTION("SPLIT(A263,""|"")")," CHQ/YouTube &amp;/20221122/Visitrajasthan/4564 ")</f>
        <v> CHQ/YouTube &amp;/20221122/Visitrajasthan/4564 </v>
      </c>
      <c r="F263" s="3" t="str">
        <f>IFERROR(__xludf.DUMMYFUNCTION("SPLIT(E263,""/"")")," CHQ")</f>
        <v> CHQ</v>
      </c>
      <c r="G263" s="3" t="str">
        <f>IFERROR(__xludf.DUMMYFUNCTION("""COMPUTED_VALUE"""),"YouTube &amp;")</f>
        <v>YouTube &amp;</v>
      </c>
      <c r="H263" s="3">
        <f>IFERROR(__xludf.DUMMYFUNCTION("""COMPUTED_VALUE"""),2.0221122E7)</f>
        <v>20221122</v>
      </c>
      <c r="I263" s="3" t="str">
        <f>IFERROR(__xludf.DUMMYFUNCTION("""COMPUTED_VALUE"""),"Visitrajasthan")</f>
        <v>Visitrajasthan</v>
      </c>
      <c r="J263" s="3">
        <f>IFERROR(__xludf.DUMMYFUNCTION("""COMPUTED_VALUE"""),4564.0)</f>
        <v>4564</v>
      </c>
      <c r="K263" s="3" t="str">
        <f t="shared" ref="K263:L263" si="267">TRIM(F263)</f>
        <v>CHQ</v>
      </c>
      <c r="L263" s="3" t="str">
        <f t="shared" si="267"/>
        <v>YouTube &amp;</v>
      </c>
      <c r="M263" s="3" t="str">
        <f t="shared" si="3"/>
        <v>Youtube &amp;</v>
      </c>
      <c r="N263" s="3" t="str">
        <f>IFERROR(__xludf.DUMMYFUNCTION("SPLIT(M263,""&amp;"")"),"Youtube ")</f>
        <v>Youtube </v>
      </c>
      <c r="O263" s="3" t="str">
        <f t="shared" si="4"/>
        <v>Youtube</v>
      </c>
      <c r="P263" s="3" t="str">
        <f t="shared" si="5"/>
        <v>Visitrajasthan</v>
      </c>
      <c r="Q263" s="3" t="str">
        <f t="shared" si="6"/>
        <v>Visitrajasthan</v>
      </c>
      <c r="R263" s="3">
        <f t="shared" si="7"/>
        <v>4564</v>
      </c>
    </row>
    <row r="264">
      <c r="A264" s="7" t="s">
        <v>149</v>
      </c>
      <c r="B264" s="8" t="s">
        <v>19</v>
      </c>
      <c r="C264" s="8">
        <v>11800.0</v>
      </c>
      <c r="E264" s="3" t="str">
        <f>IFERROR(__xludf.DUMMYFUNCTION("SPLIT(A264,""|"")")," VfS/Instagram/20221125/visitudaipur/4565 ")</f>
        <v> VfS/Instagram/20221125/visitudaipur/4565 </v>
      </c>
      <c r="F264" s="3" t="str">
        <f>IFERROR(__xludf.DUMMYFUNCTION("SPLIT(E264,""/"")")," VfS")</f>
        <v> VfS</v>
      </c>
      <c r="G264" s="3" t="str">
        <f>IFERROR(__xludf.DUMMYFUNCTION("""COMPUTED_VALUE"""),"Instagram")</f>
        <v>Instagram</v>
      </c>
      <c r="H264" s="3">
        <f>IFERROR(__xludf.DUMMYFUNCTION("""COMPUTED_VALUE"""),2.0221125E7)</f>
        <v>20221125</v>
      </c>
      <c r="I264" s="3" t="str">
        <f>IFERROR(__xludf.DUMMYFUNCTION("""COMPUTED_VALUE"""),"visitudaipur")</f>
        <v>visitudaipur</v>
      </c>
      <c r="J264" s="3">
        <f>IFERROR(__xludf.DUMMYFUNCTION("""COMPUTED_VALUE"""),4565.0)</f>
        <v>4565</v>
      </c>
      <c r="K264" s="3" t="str">
        <f t="shared" ref="K264:L264" si="268">TRIM(F264)</f>
        <v>VfS</v>
      </c>
      <c r="L264" s="3" t="str">
        <f t="shared" si="268"/>
        <v>Instagram</v>
      </c>
      <c r="M264" s="3" t="str">
        <f t="shared" si="3"/>
        <v>Instagram</v>
      </c>
      <c r="N264" s="3" t="str">
        <f>IFERROR(__xludf.DUMMYFUNCTION("SPLIT(M264,""&amp;"")"),"Instagram")</f>
        <v>Instagram</v>
      </c>
      <c r="O264" s="3" t="str">
        <f t="shared" si="4"/>
        <v>Instagram</v>
      </c>
      <c r="P264" s="3" t="str">
        <f t="shared" si="5"/>
        <v>visitudaipur</v>
      </c>
      <c r="Q264" s="3" t="str">
        <f t="shared" si="6"/>
        <v>Visitudaipur</v>
      </c>
      <c r="R264" s="3">
        <f t="shared" si="7"/>
        <v>4565</v>
      </c>
    </row>
    <row r="265">
      <c r="A265" s="7" t="s">
        <v>150</v>
      </c>
      <c r="B265" s="8" t="s">
        <v>19</v>
      </c>
      <c r="C265" s="8">
        <v>93800.0</v>
      </c>
      <c r="E265" s="3" t="str">
        <f>IFERROR(__xludf.DUMMYFUNCTION("SPLIT(A265,""|"")")," VIN/OfflINe &amp;/20221128/Visitjodhpur/4566 ")</f>
        <v> VIN/OfflINe &amp;/20221128/Visitjodhpur/4566 </v>
      </c>
      <c r="F265" s="3" t="str">
        <f>IFERROR(__xludf.DUMMYFUNCTION("SPLIT(E265,""/"")")," VIN")</f>
        <v> VIN</v>
      </c>
      <c r="G265" s="3" t="str">
        <f>IFERROR(__xludf.DUMMYFUNCTION("""COMPUTED_VALUE"""),"OfflINe &amp;")</f>
        <v>OfflINe &amp;</v>
      </c>
      <c r="H265" s="3">
        <f>IFERROR(__xludf.DUMMYFUNCTION("""COMPUTED_VALUE"""),2.0221128E7)</f>
        <v>20221128</v>
      </c>
      <c r="I265" s="3" t="str">
        <f>IFERROR(__xludf.DUMMYFUNCTION("""COMPUTED_VALUE"""),"Visitjodhpur")</f>
        <v>Visitjodhpur</v>
      </c>
      <c r="J265" s="3">
        <f>IFERROR(__xludf.DUMMYFUNCTION("""COMPUTED_VALUE"""),4566.0)</f>
        <v>4566</v>
      </c>
      <c r="K265" s="3" t="str">
        <f t="shared" ref="K265:L265" si="269">TRIM(F265)</f>
        <v>VIN</v>
      </c>
      <c r="L265" s="3" t="str">
        <f t="shared" si="269"/>
        <v>OfflINe &amp;</v>
      </c>
      <c r="M265" s="3" t="str">
        <f t="shared" si="3"/>
        <v>Offline &amp;</v>
      </c>
      <c r="N265" s="3" t="str">
        <f>IFERROR(__xludf.DUMMYFUNCTION("SPLIT(M265,""&amp;"")"),"Offline ")</f>
        <v>Offline </v>
      </c>
      <c r="O265" s="3" t="str">
        <f t="shared" si="4"/>
        <v>Offline</v>
      </c>
      <c r="P265" s="3" t="str">
        <f t="shared" si="5"/>
        <v>Visitjodhpur</v>
      </c>
      <c r="Q265" s="3" t="str">
        <f t="shared" si="6"/>
        <v>Visitjodhpur</v>
      </c>
      <c r="R265" s="3">
        <f t="shared" si="7"/>
        <v>4566</v>
      </c>
    </row>
    <row r="266">
      <c r="A266" s="7" t="s">
        <v>121</v>
      </c>
      <c r="B266" s="8" t="s">
        <v>20</v>
      </c>
      <c r="C266" s="8">
        <v>57700.0</v>
      </c>
      <c r="E266" s="3" t="str">
        <f>IFERROR(__xludf.DUMMYFUNCTION("SPLIT(A266,""|"")")," CHQ/Facebook/20221201/Visitjaipur/5676 ")</f>
        <v> CHQ/Facebook/20221201/Visitjaipur/5676 </v>
      </c>
      <c r="F266" s="3" t="str">
        <f>IFERROR(__xludf.DUMMYFUNCTION("SPLIT(E266,""/"")")," CHQ")</f>
        <v> CHQ</v>
      </c>
      <c r="G266" s="3" t="str">
        <f>IFERROR(__xludf.DUMMYFUNCTION("""COMPUTED_VALUE"""),"Facebook")</f>
        <v>Facebook</v>
      </c>
      <c r="H266" s="3">
        <f>IFERROR(__xludf.DUMMYFUNCTION("""COMPUTED_VALUE"""),2.0221201E7)</f>
        <v>20221201</v>
      </c>
      <c r="I266" s="3" t="str">
        <f>IFERROR(__xludf.DUMMYFUNCTION("""COMPUTED_VALUE"""),"Visitjaipur")</f>
        <v>Visitjaipur</v>
      </c>
      <c r="J266" s="3">
        <f>IFERROR(__xludf.DUMMYFUNCTION("""COMPUTED_VALUE"""),5676.0)</f>
        <v>5676</v>
      </c>
      <c r="K266" s="3" t="str">
        <f t="shared" ref="K266:L266" si="270">TRIM(F266)</f>
        <v>CHQ</v>
      </c>
      <c r="L266" s="3" t="str">
        <f t="shared" si="270"/>
        <v>Facebook</v>
      </c>
      <c r="M266" s="3" t="str">
        <f t="shared" si="3"/>
        <v>Facebook</v>
      </c>
      <c r="N266" s="3" t="str">
        <f>IFERROR(__xludf.DUMMYFUNCTION("SPLIT(M266,""&amp;"")"),"Facebook")</f>
        <v>Facebook</v>
      </c>
      <c r="O266" s="3" t="str">
        <f t="shared" si="4"/>
        <v>Facebook</v>
      </c>
      <c r="P266" s="3" t="str">
        <f t="shared" si="5"/>
        <v>Visitjaipur</v>
      </c>
      <c r="Q266" s="3" t="str">
        <f t="shared" si="6"/>
        <v>Visitjaipur</v>
      </c>
      <c r="R266" s="3">
        <f t="shared" si="7"/>
        <v>5676</v>
      </c>
    </row>
    <row r="267">
      <c r="A267" s="7" t="s">
        <v>122</v>
      </c>
      <c r="B267" s="8" t="s">
        <v>20</v>
      </c>
      <c r="C267" s="8">
        <v>29200.0</v>
      </c>
      <c r="E267" s="3" t="str">
        <f>IFERROR(__xludf.DUMMYFUNCTION("SPLIT(A267,""|"")")," VfS/YouTube/20221204/Visitrajasthan/4564 ")</f>
        <v> VfS/YouTube/20221204/Visitrajasthan/4564 </v>
      </c>
      <c r="F267" s="3" t="str">
        <f>IFERROR(__xludf.DUMMYFUNCTION("SPLIT(E267,""/"")")," VfS")</f>
        <v> VfS</v>
      </c>
      <c r="G267" s="3" t="str">
        <f>IFERROR(__xludf.DUMMYFUNCTION("""COMPUTED_VALUE"""),"YouTube")</f>
        <v>YouTube</v>
      </c>
      <c r="H267" s="3">
        <f>IFERROR(__xludf.DUMMYFUNCTION("""COMPUTED_VALUE"""),2.0221204E7)</f>
        <v>20221204</v>
      </c>
      <c r="I267" s="3" t="str">
        <f>IFERROR(__xludf.DUMMYFUNCTION("""COMPUTED_VALUE"""),"Visitrajasthan")</f>
        <v>Visitrajasthan</v>
      </c>
      <c r="J267" s="3">
        <f>IFERROR(__xludf.DUMMYFUNCTION("""COMPUTED_VALUE"""),4564.0)</f>
        <v>4564</v>
      </c>
      <c r="K267" s="3" t="str">
        <f t="shared" ref="K267:L267" si="271">TRIM(F267)</f>
        <v>VfS</v>
      </c>
      <c r="L267" s="3" t="str">
        <f t="shared" si="271"/>
        <v>YouTube</v>
      </c>
      <c r="M267" s="3" t="str">
        <f t="shared" si="3"/>
        <v>Youtube</v>
      </c>
      <c r="N267" s="3" t="str">
        <f>IFERROR(__xludf.DUMMYFUNCTION("SPLIT(M267,""&amp;"")"),"Youtube")</f>
        <v>Youtube</v>
      </c>
      <c r="O267" s="3" t="str">
        <f t="shared" si="4"/>
        <v>Youtube</v>
      </c>
      <c r="P267" s="3" t="str">
        <f t="shared" si="5"/>
        <v>Visitrajasthan</v>
      </c>
      <c r="Q267" s="3" t="str">
        <f t="shared" si="6"/>
        <v>Visitrajasthan</v>
      </c>
      <c r="R267" s="3">
        <f t="shared" si="7"/>
        <v>4564</v>
      </c>
    </row>
    <row r="268">
      <c r="A268" s="7" t="s">
        <v>123</v>
      </c>
      <c r="B268" s="8" t="s">
        <v>20</v>
      </c>
      <c r="C268" s="8">
        <v>51400.0</v>
      </c>
      <c r="E268" s="3" t="str">
        <f>IFERROR(__xludf.DUMMYFUNCTION("SPLIT(A268,""|"")")," NEFT/Instagram/20221207/visitudaipur/4565 ")</f>
        <v> NEFT/Instagram/20221207/visitudaipur/4565 </v>
      </c>
      <c r="F268" s="3" t="str">
        <f>IFERROR(__xludf.DUMMYFUNCTION("SPLIT(E268,""/"")")," NEFT")</f>
        <v> NEFT</v>
      </c>
      <c r="G268" s="3" t="str">
        <f>IFERROR(__xludf.DUMMYFUNCTION("""COMPUTED_VALUE"""),"Instagram")</f>
        <v>Instagram</v>
      </c>
      <c r="H268" s="3">
        <f>IFERROR(__xludf.DUMMYFUNCTION("""COMPUTED_VALUE"""),2.0221207E7)</f>
        <v>20221207</v>
      </c>
      <c r="I268" s="3" t="str">
        <f>IFERROR(__xludf.DUMMYFUNCTION("""COMPUTED_VALUE"""),"visitudaipur")</f>
        <v>visitudaipur</v>
      </c>
      <c r="J268" s="3">
        <f>IFERROR(__xludf.DUMMYFUNCTION("""COMPUTED_VALUE"""),4565.0)</f>
        <v>4565</v>
      </c>
      <c r="K268" s="3" t="str">
        <f t="shared" ref="K268:L268" si="272">TRIM(F268)</f>
        <v>NEFT</v>
      </c>
      <c r="L268" s="3" t="str">
        <f t="shared" si="272"/>
        <v>Instagram</v>
      </c>
      <c r="M268" s="3" t="str">
        <f t="shared" si="3"/>
        <v>Instagram</v>
      </c>
      <c r="N268" s="3" t="str">
        <f>IFERROR(__xludf.DUMMYFUNCTION("SPLIT(M268,""&amp;"")"),"Instagram")</f>
        <v>Instagram</v>
      </c>
      <c r="O268" s="3" t="str">
        <f t="shared" si="4"/>
        <v>Instagram</v>
      </c>
      <c r="P268" s="3" t="str">
        <f t="shared" si="5"/>
        <v>visitudaipur</v>
      </c>
      <c r="Q268" s="3" t="str">
        <f t="shared" si="6"/>
        <v>Visitudaipur</v>
      </c>
      <c r="R268" s="3">
        <f t="shared" si="7"/>
        <v>4565</v>
      </c>
    </row>
    <row r="269">
      <c r="A269" s="7" t="s">
        <v>124</v>
      </c>
      <c r="B269" s="8" t="s">
        <v>20</v>
      </c>
      <c r="C269" s="8">
        <v>57700.0</v>
      </c>
      <c r="E269" s="3" t="str">
        <f>IFERROR(__xludf.DUMMYFUNCTION("SPLIT(A269,""|"")")," CHQ/Offline &amp;/20221210/Visitjodhpur/4566 ")</f>
        <v> CHQ/Offline &amp;/20221210/Visitjodhpur/4566 </v>
      </c>
      <c r="F269" s="3" t="str">
        <f>IFERROR(__xludf.DUMMYFUNCTION("SPLIT(E269,""/"")")," CHQ")</f>
        <v> CHQ</v>
      </c>
      <c r="G269" s="3" t="str">
        <f>IFERROR(__xludf.DUMMYFUNCTION("""COMPUTED_VALUE"""),"Offline &amp;")</f>
        <v>Offline &amp;</v>
      </c>
      <c r="H269" s="3">
        <f>IFERROR(__xludf.DUMMYFUNCTION("""COMPUTED_VALUE"""),2.022121E7)</f>
        <v>20221210</v>
      </c>
      <c r="I269" s="3" t="str">
        <f>IFERROR(__xludf.DUMMYFUNCTION("""COMPUTED_VALUE"""),"Visitjodhpur")</f>
        <v>Visitjodhpur</v>
      </c>
      <c r="J269" s="3">
        <f>IFERROR(__xludf.DUMMYFUNCTION("""COMPUTED_VALUE"""),4566.0)</f>
        <v>4566</v>
      </c>
      <c r="K269" s="3" t="str">
        <f t="shared" ref="K269:L269" si="273">TRIM(F269)</f>
        <v>CHQ</v>
      </c>
      <c r="L269" s="3" t="str">
        <f t="shared" si="273"/>
        <v>Offline &amp;</v>
      </c>
      <c r="M269" s="3" t="str">
        <f t="shared" si="3"/>
        <v>Offline &amp;</v>
      </c>
      <c r="N269" s="3" t="str">
        <f>IFERROR(__xludf.DUMMYFUNCTION("SPLIT(M269,""&amp;"")"),"Offline ")</f>
        <v>Offline </v>
      </c>
      <c r="O269" s="3" t="str">
        <f t="shared" si="4"/>
        <v>Offline</v>
      </c>
      <c r="P269" s="3" t="str">
        <f t="shared" si="5"/>
        <v>Visitjodhpur</v>
      </c>
      <c r="Q269" s="3" t="str">
        <f t="shared" si="6"/>
        <v>Visitjodhpur</v>
      </c>
      <c r="R269" s="3">
        <f t="shared" si="7"/>
        <v>4566</v>
      </c>
    </row>
    <row r="270">
      <c r="A270" s="7" t="s">
        <v>125</v>
      </c>
      <c r="B270" s="8" t="s">
        <v>20</v>
      </c>
      <c r="C270" s="8">
        <v>82600.0</v>
      </c>
      <c r="E270" s="3" t="str">
        <f>IFERROR(__xludf.DUMMYFUNCTION("SPLIT(A270,""|"")")," VfS/Google Ads/20221213/visitJaisalmer/3455 ")</f>
        <v> VfS/Google Ads/20221213/visitJaisalmer/3455 </v>
      </c>
      <c r="F270" s="3" t="str">
        <f>IFERROR(__xludf.DUMMYFUNCTION("SPLIT(E270,""/"")")," VfS")</f>
        <v> VfS</v>
      </c>
      <c r="G270" s="3" t="str">
        <f>IFERROR(__xludf.DUMMYFUNCTION("""COMPUTED_VALUE"""),"Google Ads")</f>
        <v>Google Ads</v>
      </c>
      <c r="H270" s="3">
        <f>IFERROR(__xludf.DUMMYFUNCTION("""COMPUTED_VALUE"""),2.0221213E7)</f>
        <v>20221213</v>
      </c>
      <c r="I270" s="3" t="str">
        <f>IFERROR(__xludf.DUMMYFUNCTION("""COMPUTED_VALUE"""),"visitJaisalmer")</f>
        <v>visitJaisalmer</v>
      </c>
      <c r="J270" s="3">
        <f>IFERROR(__xludf.DUMMYFUNCTION("""COMPUTED_VALUE"""),3455.0)</f>
        <v>3455</v>
      </c>
      <c r="K270" s="3" t="str">
        <f t="shared" ref="K270:L270" si="274">TRIM(F270)</f>
        <v>VfS</v>
      </c>
      <c r="L270" s="3" t="str">
        <f t="shared" si="274"/>
        <v>Google Ads</v>
      </c>
      <c r="M270" s="3" t="str">
        <f t="shared" si="3"/>
        <v>Google Ads</v>
      </c>
      <c r="N270" s="3" t="str">
        <f>IFERROR(__xludf.DUMMYFUNCTION("SPLIT(M270,""&amp;"")"),"Google Ads")</f>
        <v>Google Ads</v>
      </c>
      <c r="O270" s="3" t="str">
        <f t="shared" si="4"/>
        <v>Google Ads</v>
      </c>
      <c r="P270" s="3" t="str">
        <f t="shared" si="5"/>
        <v>visitJaisalmer</v>
      </c>
      <c r="Q270" s="3" t="str">
        <f t="shared" si="6"/>
        <v>Visitjaisalmer</v>
      </c>
      <c r="R270" s="3">
        <f t="shared" si="7"/>
        <v>3455</v>
      </c>
    </row>
    <row r="271">
      <c r="A271" s="7" t="s">
        <v>126</v>
      </c>
      <c r="B271" s="8" t="s">
        <v>20</v>
      </c>
      <c r="C271" s="8">
        <v>68900.0</v>
      </c>
      <c r="E271" s="3" t="str">
        <f>IFERROR(__xludf.DUMMYFUNCTION("SPLIT(A271,""|"")")," VIN/TwiTter/20221216/visitbikaner/5666 ")</f>
        <v> VIN/TwiTter/20221216/visitbikaner/5666 </v>
      </c>
      <c r="F271" s="3" t="str">
        <f>IFERROR(__xludf.DUMMYFUNCTION("SPLIT(E271,""/"")")," VIN")</f>
        <v> VIN</v>
      </c>
      <c r="G271" s="3" t="str">
        <f>IFERROR(__xludf.DUMMYFUNCTION("""COMPUTED_VALUE"""),"TwiTter")</f>
        <v>TwiTter</v>
      </c>
      <c r="H271" s="3">
        <f>IFERROR(__xludf.DUMMYFUNCTION("""COMPUTED_VALUE"""),2.0221216E7)</f>
        <v>20221216</v>
      </c>
      <c r="I271" s="3" t="str">
        <f>IFERROR(__xludf.DUMMYFUNCTION("""COMPUTED_VALUE"""),"visitbikaner")</f>
        <v>visitbikaner</v>
      </c>
      <c r="J271" s="3">
        <f>IFERROR(__xludf.DUMMYFUNCTION("""COMPUTED_VALUE"""),5666.0)</f>
        <v>5666</v>
      </c>
      <c r="K271" s="3" t="str">
        <f t="shared" ref="K271:L271" si="275">TRIM(F271)</f>
        <v>VIN</v>
      </c>
      <c r="L271" s="3" t="str">
        <f t="shared" si="275"/>
        <v>TwiTter</v>
      </c>
      <c r="M271" s="3" t="str">
        <f t="shared" si="3"/>
        <v>Twitter</v>
      </c>
      <c r="N271" s="3" t="str">
        <f>IFERROR(__xludf.DUMMYFUNCTION("SPLIT(M271,""&amp;"")"),"Twitter")</f>
        <v>Twitter</v>
      </c>
      <c r="O271" s="3" t="str">
        <f t="shared" si="4"/>
        <v>Twitter</v>
      </c>
      <c r="P271" s="3" t="str">
        <f t="shared" si="5"/>
        <v>visitbikaner</v>
      </c>
      <c r="Q271" s="3" t="str">
        <f t="shared" si="6"/>
        <v>Visitbikaner</v>
      </c>
      <c r="R271" s="3">
        <f t="shared" si="7"/>
        <v>5666</v>
      </c>
    </row>
    <row r="272">
      <c r="A272" s="7" t="s">
        <v>127</v>
      </c>
      <c r="B272" s="8" t="s">
        <v>20</v>
      </c>
      <c r="C272" s="8">
        <v>69100.0</v>
      </c>
      <c r="E272" s="3" t="str">
        <f>IFERROR(__xludf.DUMMYFUNCTION("SPLIT(A272,""|"")")," NEFT/Facebook/20221219/Visitjaipur/5676 ")</f>
        <v> NEFT/Facebook/20221219/Visitjaipur/5676 </v>
      </c>
      <c r="F272" s="3" t="str">
        <f>IFERROR(__xludf.DUMMYFUNCTION("SPLIT(E272,""/"")")," NEFT")</f>
        <v> NEFT</v>
      </c>
      <c r="G272" s="3" t="str">
        <f>IFERROR(__xludf.DUMMYFUNCTION("""COMPUTED_VALUE"""),"Facebook")</f>
        <v>Facebook</v>
      </c>
      <c r="H272" s="3">
        <f>IFERROR(__xludf.DUMMYFUNCTION("""COMPUTED_VALUE"""),2.0221219E7)</f>
        <v>20221219</v>
      </c>
      <c r="I272" s="3" t="str">
        <f>IFERROR(__xludf.DUMMYFUNCTION("""COMPUTED_VALUE"""),"Visitjaipur")</f>
        <v>Visitjaipur</v>
      </c>
      <c r="J272" s="3">
        <f>IFERROR(__xludf.DUMMYFUNCTION("""COMPUTED_VALUE"""),5676.0)</f>
        <v>5676</v>
      </c>
      <c r="K272" s="3" t="str">
        <f t="shared" ref="K272:L272" si="276">TRIM(F272)</f>
        <v>NEFT</v>
      </c>
      <c r="L272" s="3" t="str">
        <f t="shared" si="276"/>
        <v>Facebook</v>
      </c>
      <c r="M272" s="3" t="str">
        <f t="shared" si="3"/>
        <v>Facebook</v>
      </c>
      <c r="N272" s="3" t="str">
        <f>IFERROR(__xludf.DUMMYFUNCTION("SPLIT(M272,""&amp;"")"),"Facebook")</f>
        <v>Facebook</v>
      </c>
      <c r="O272" s="3" t="str">
        <f t="shared" si="4"/>
        <v>Facebook</v>
      </c>
      <c r="P272" s="3" t="str">
        <f t="shared" si="5"/>
        <v>Visitjaipur</v>
      </c>
      <c r="Q272" s="3" t="str">
        <f t="shared" si="6"/>
        <v>Visitjaipur</v>
      </c>
      <c r="R272" s="3">
        <f t="shared" si="7"/>
        <v>5676</v>
      </c>
    </row>
    <row r="273">
      <c r="A273" s="7" t="s">
        <v>128</v>
      </c>
      <c r="B273" s="8" t="s">
        <v>20</v>
      </c>
      <c r="C273" s="8">
        <v>32300.0</v>
      </c>
      <c r="E273" s="3" t="str">
        <f>IFERROR(__xludf.DUMMYFUNCTION("SPLIT(A273,""|"")")," CHQ/YouTube &amp;/20221222/Visitrajasthan/4564 ")</f>
        <v> CHQ/YouTube &amp;/20221222/Visitrajasthan/4564 </v>
      </c>
      <c r="F273" s="3" t="str">
        <f>IFERROR(__xludf.DUMMYFUNCTION("SPLIT(E273,""/"")")," CHQ")</f>
        <v> CHQ</v>
      </c>
      <c r="G273" s="3" t="str">
        <f>IFERROR(__xludf.DUMMYFUNCTION("""COMPUTED_VALUE"""),"YouTube &amp;")</f>
        <v>YouTube &amp;</v>
      </c>
      <c r="H273" s="3">
        <f>IFERROR(__xludf.DUMMYFUNCTION("""COMPUTED_VALUE"""),2.0221222E7)</f>
        <v>20221222</v>
      </c>
      <c r="I273" s="3" t="str">
        <f>IFERROR(__xludf.DUMMYFUNCTION("""COMPUTED_VALUE"""),"Visitrajasthan")</f>
        <v>Visitrajasthan</v>
      </c>
      <c r="J273" s="3">
        <f>IFERROR(__xludf.DUMMYFUNCTION("""COMPUTED_VALUE"""),4564.0)</f>
        <v>4564</v>
      </c>
      <c r="K273" s="3" t="str">
        <f t="shared" ref="K273:L273" si="277">TRIM(F273)</f>
        <v>CHQ</v>
      </c>
      <c r="L273" s="3" t="str">
        <f t="shared" si="277"/>
        <v>YouTube &amp;</v>
      </c>
      <c r="M273" s="3" t="str">
        <f t="shared" si="3"/>
        <v>Youtube &amp;</v>
      </c>
      <c r="N273" s="3" t="str">
        <f>IFERROR(__xludf.DUMMYFUNCTION("SPLIT(M273,""&amp;"")"),"Youtube ")</f>
        <v>Youtube </v>
      </c>
      <c r="O273" s="3" t="str">
        <f t="shared" si="4"/>
        <v>Youtube</v>
      </c>
      <c r="P273" s="3" t="str">
        <f t="shared" si="5"/>
        <v>Visitrajasthan</v>
      </c>
      <c r="Q273" s="3" t="str">
        <f t="shared" si="6"/>
        <v>Visitrajasthan</v>
      </c>
      <c r="R273" s="3">
        <f t="shared" si="7"/>
        <v>4564</v>
      </c>
    </row>
    <row r="274">
      <c r="A274" s="7" t="s">
        <v>129</v>
      </c>
      <c r="B274" s="8" t="s">
        <v>20</v>
      </c>
      <c r="C274" s="8">
        <v>47500.0</v>
      </c>
      <c r="E274" s="3" t="str">
        <f>IFERROR(__xludf.DUMMYFUNCTION("SPLIT(A274,""|"")")," VfS/Instagram/20221225/visitudaipur/4565 ")</f>
        <v> VfS/Instagram/20221225/visitudaipur/4565 </v>
      </c>
      <c r="F274" s="3" t="str">
        <f>IFERROR(__xludf.DUMMYFUNCTION("SPLIT(E274,""/"")")," VfS")</f>
        <v> VfS</v>
      </c>
      <c r="G274" s="3" t="str">
        <f>IFERROR(__xludf.DUMMYFUNCTION("""COMPUTED_VALUE"""),"Instagram")</f>
        <v>Instagram</v>
      </c>
      <c r="H274" s="3">
        <f>IFERROR(__xludf.DUMMYFUNCTION("""COMPUTED_VALUE"""),2.0221225E7)</f>
        <v>20221225</v>
      </c>
      <c r="I274" s="3" t="str">
        <f>IFERROR(__xludf.DUMMYFUNCTION("""COMPUTED_VALUE"""),"visitudaipur")</f>
        <v>visitudaipur</v>
      </c>
      <c r="J274" s="3">
        <f>IFERROR(__xludf.DUMMYFUNCTION("""COMPUTED_VALUE"""),4565.0)</f>
        <v>4565</v>
      </c>
      <c r="K274" s="3" t="str">
        <f t="shared" ref="K274:L274" si="278">TRIM(F274)</f>
        <v>VfS</v>
      </c>
      <c r="L274" s="3" t="str">
        <f t="shared" si="278"/>
        <v>Instagram</v>
      </c>
      <c r="M274" s="3" t="str">
        <f t="shared" si="3"/>
        <v>Instagram</v>
      </c>
      <c r="N274" s="3" t="str">
        <f>IFERROR(__xludf.DUMMYFUNCTION("SPLIT(M274,""&amp;"")"),"Instagram")</f>
        <v>Instagram</v>
      </c>
      <c r="O274" s="3" t="str">
        <f t="shared" si="4"/>
        <v>Instagram</v>
      </c>
      <c r="P274" s="3" t="str">
        <f t="shared" si="5"/>
        <v>visitudaipur</v>
      </c>
      <c r="Q274" s="3" t="str">
        <f t="shared" si="6"/>
        <v>Visitudaipur</v>
      </c>
      <c r="R274" s="3">
        <f t="shared" si="7"/>
        <v>4565</v>
      </c>
    </row>
    <row r="275">
      <c r="A275" s="7" t="s">
        <v>130</v>
      </c>
      <c r="B275" s="8" t="s">
        <v>20</v>
      </c>
      <c r="C275" s="8">
        <v>12400.0</v>
      </c>
      <c r="E275" s="3" t="str">
        <f>IFERROR(__xludf.DUMMYFUNCTION("SPLIT(A275,""|"")")," VIN/OfflINe &amp;/20221228/Visitjodhpur/4566 ")</f>
        <v> VIN/OfflINe &amp;/20221228/Visitjodhpur/4566 </v>
      </c>
      <c r="F275" s="3" t="str">
        <f>IFERROR(__xludf.DUMMYFUNCTION("SPLIT(E275,""/"")")," VIN")</f>
        <v> VIN</v>
      </c>
      <c r="G275" s="3" t="str">
        <f>IFERROR(__xludf.DUMMYFUNCTION("""COMPUTED_VALUE"""),"OfflINe &amp;")</f>
        <v>OfflINe &amp;</v>
      </c>
      <c r="H275" s="3">
        <f>IFERROR(__xludf.DUMMYFUNCTION("""COMPUTED_VALUE"""),2.0221228E7)</f>
        <v>20221228</v>
      </c>
      <c r="I275" s="3" t="str">
        <f>IFERROR(__xludf.DUMMYFUNCTION("""COMPUTED_VALUE"""),"Visitjodhpur")</f>
        <v>Visitjodhpur</v>
      </c>
      <c r="J275" s="3">
        <f>IFERROR(__xludf.DUMMYFUNCTION("""COMPUTED_VALUE"""),4566.0)</f>
        <v>4566</v>
      </c>
      <c r="K275" s="3" t="str">
        <f t="shared" ref="K275:L275" si="279">TRIM(F275)</f>
        <v>VIN</v>
      </c>
      <c r="L275" s="3" t="str">
        <f t="shared" si="279"/>
        <v>OfflINe &amp;</v>
      </c>
      <c r="M275" s="3" t="str">
        <f t="shared" si="3"/>
        <v>Offline &amp;</v>
      </c>
      <c r="N275" s="3" t="str">
        <f>IFERROR(__xludf.DUMMYFUNCTION("SPLIT(M275,""&amp;"")"),"Offline ")</f>
        <v>Offline </v>
      </c>
      <c r="O275" s="3" t="str">
        <f t="shared" si="4"/>
        <v>Offline</v>
      </c>
      <c r="P275" s="3" t="str">
        <f t="shared" si="5"/>
        <v>Visitjodhpur</v>
      </c>
      <c r="Q275" s="3" t="str">
        <f t="shared" si="6"/>
        <v>Visitjodhpur</v>
      </c>
      <c r="R275" s="3">
        <f t="shared" si="7"/>
        <v>4566</v>
      </c>
    </row>
    <row r="276">
      <c r="A276" s="7" t="s">
        <v>131</v>
      </c>
      <c r="B276" s="8" t="s">
        <v>6</v>
      </c>
      <c r="C276" s="8">
        <v>85800.0</v>
      </c>
      <c r="E276" s="3" t="str">
        <f>IFERROR(__xludf.DUMMYFUNCTION("SPLIT(A276,""|"")")," CHQ/Facebook/20221001/Visitjaipur/5676 ")</f>
        <v> CHQ/Facebook/20221001/Visitjaipur/5676 </v>
      </c>
      <c r="F276" s="3" t="str">
        <f>IFERROR(__xludf.DUMMYFUNCTION("SPLIT(E276,""/"")")," CHQ")</f>
        <v> CHQ</v>
      </c>
      <c r="G276" s="3" t="str">
        <f>IFERROR(__xludf.DUMMYFUNCTION("""COMPUTED_VALUE"""),"Facebook")</f>
        <v>Facebook</v>
      </c>
      <c r="H276" s="3">
        <f>IFERROR(__xludf.DUMMYFUNCTION("""COMPUTED_VALUE"""),2.0221001E7)</f>
        <v>20221001</v>
      </c>
      <c r="I276" s="3" t="str">
        <f>IFERROR(__xludf.DUMMYFUNCTION("""COMPUTED_VALUE"""),"Visitjaipur")</f>
        <v>Visitjaipur</v>
      </c>
      <c r="J276" s="3">
        <f>IFERROR(__xludf.DUMMYFUNCTION("""COMPUTED_VALUE"""),5676.0)</f>
        <v>5676</v>
      </c>
      <c r="K276" s="3" t="str">
        <f t="shared" ref="K276:L276" si="280">TRIM(F276)</f>
        <v>CHQ</v>
      </c>
      <c r="L276" s="3" t="str">
        <f t="shared" si="280"/>
        <v>Facebook</v>
      </c>
      <c r="M276" s="3" t="str">
        <f t="shared" si="3"/>
        <v>Facebook</v>
      </c>
      <c r="N276" s="3" t="str">
        <f>IFERROR(__xludf.DUMMYFUNCTION("SPLIT(M276,""&amp;"")"),"Facebook")</f>
        <v>Facebook</v>
      </c>
      <c r="O276" s="3" t="str">
        <f t="shared" si="4"/>
        <v>Facebook</v>
      </c>
      <c r="P276" s="3" t="str">
        <f t="shared" si="5"/>
        <v>Visitjaipur</v>
      </c>
      <c r="Q276" s="3" t="str">
        <f t="shared" si="6"/>
        <v>Visitjaipur</v>
      </c>
      <c r="R276" s="3">
        <f t="shared" si="7"/>
        <v>5676</v>
      </c>
    </row>
    <row r="277">
      <c r="A277" s="7" t="s">
        <v>132</v>
      </c>
      <c r="B277" s="8" t="s">
        <v>6</v>
      </c>
      <c r="C277" s="8">
        <v>87500.0</v>
      </c>
      <c r="E277" s="3" t="str">
        <f>IFERROR(__xludf.DUMMYFUNCTION("SPLIT(A277,""|"")")," VfS/YouTube/20221004/Visitrajasthan/4564 ")</f>
        <v> VfS/YouTube/20221004/Visitrajasthan/4564 </v>
      </c>
      <c r="F277" s="3" t="str">
        <f>IFERROR(__xludf.DUMMYFUNCTION("SPLIT(E277,""/"")")," VfS")</f>
        <v> VfS</v>
      </c>
      <c r="G277" s="3" t="str">
        <f>IFERROR(__xludf.DUMMYFUNCTION("""COMPUTED_VALUE"""),"YouTube")</f>
        <v>YouTube</v>
      </c>
      <c r="H277" s="3">
        <f>IFERROR(__xludf.DUMMYFUNCTION("""COMPUTED_VALUE"""),2.0221004E7)</f>
        <v>20221004</v>
      </c>
      <c r="I277" s="3" t="str">
        <f>IFERROR(__xludf.DUMMYFUNCTION("""COMPUTED_VALUE"""),"Visitrajasthan")</f>
        <v>Visitrajasthan</v>
      </c>
      <c r="J277" s="3">
        <f>IFERROR(__xludf.DUMMYFUNCTION("""COMPUTED_VALUE"""),4564.0)</f>
        <v>4564</v>
      </c>
      <c r="K277" s="3" t="str">
        <f t="shared" ref="K277:L277" si="281">TRIM(F277)</f>
        <v>VfS</v>
      </c>
      <c r="L277" s="3" t="str">
        <f t="shared" si="281"/>
        <v>YouTube</v>
      </c>
      <c r="M277" s="3" t="str">
        <f t="shared" si="3"/>
        <v>Youtube</v>
      </c>
      <c r="N277" s="3" t="str">
        <f>IFERROR(__xludf.DUMMYFUNCTION("SPLIT(M277,""&amp;"")"),"Youtube")</f>
        <v>Youtube</v>
      </c>
      <c r="O277" s="3" t="str">
        <f t="shared" si="4"/>
        <v>Youtube</v>
      </c>
      <c r="P277" s="3" t="str">
        <f t="shared" si="5"/>
        <v>Visitrajasthan</v>
      </c>
      <c r="Q277" s="3" t="str">
        <f t="shared" si="6"/>
        <v>Visitrajasthan</v>
      </c>
      <c r="R277" s="3">
        <f t="shared" si="7"/>
        <v>4564</v>
      </c>
    </row>
    <row r="278">
      <c r="A278" s="7" t="s">
        <v>133</v>
      </c>
      <c r="B278" s="8" t="s">
        <v>6</v>
      </c>
      <c r="C278" s="8">
        <v>58400.0</v>
      </c>
      <c r="E278" s="3" t="str">
        <f>IFERROR(__xludf.DUMMYFUNCTION("SPLIT(A278,""|"")")," NEFT/Instagram/20221007/visitudaipur/4565 ")</f>
        <v> NEFT/Instagram/20221007/visitudaipur/4565 </v>
      </c>
      <c r="F278" s="3" t="str">
        <f>IFERROR(__xludf.DUMMYFUNCTION("SPLIT(E278,""/"")")," NEFT")</f>
        <v> NEFT</v>
      </c>
      <c r="G278" s="3" t="str">
        <f>IFERROR(__xludf.DUMMYFUNCTION("""COMPUTED_VALUE"""),"Instagram")</f>
        <v>Instagram</v>
      </c>
      <c r="H278" s="3">
        <f>IFERROR(__xludf.DUMMYFUNCTION("""COMPUTED_VALUE"""),2.0221007E7)</f>
        <v>20221007</v>
      </c>
      <c r="I278" s="3" t="str">
        <f>IFERROR(__xludf.DUMMYFUNCTION("""COMPUTED_VALUE"""),"visitudaipur")</f>
        <v>visitudaipur</v>
      </c>
      <c r="J278" s="3">
        <f>IFERROR(__xludf.DUMMYFUNCTION("""COMPUTED_VALUE"""),4565.0)</f>
        <v>4565</v>
      </c>
      <c r="K278" s="3" t="str">
        <f t="shared" ref="K278:L278" si="282">TRIM(F278)</f>
        <v>NEFT</v>
      </c>
      <c r="L278" s="3" t="str">
        <f t="shared" si="282"/>
        <v>Instagram</v>
      </c>
      <c r="M278" s="3" t="str">
        <f t="shared" si="3"/>
        <v>Instagram</v>
      </c>
      <c r="N278" s="3" t="str">
        <f>IFERROR(__xludf.DUMMYFUNCTION("SPLIT(M278,""&amp;"")"),"Instagram")</f>
        <v>Instagram</v>
      </c>
      <c r="O278" s="3" t="str">
        <f t="shared" si="4"/>
        <v>Instagram</v>
      </c>
      <c r="P278" s="3" t="str">
        <f t="shared" si="5"/>
        <v>visitudaipur</v>
      </c>
      <c r="Q278" s="3" t="str">
        <f t="shared" si="6"/>
        <v>Visitudaipur</v>
      </c>
      <c r="R278" s="3">
        <f t="shared" si="7"/>
        <v>4565</v>
      </c>
    </row>
    <row r="279">
      <c r="A279" s="7" t="s">
        <v>134</v>
      </c>
      <c r="B279" s="8" t="s">
        <v>6</v>
      </c>
      <c r="C279" s="8">
        <v>60200.0</v>
      </c>
      <c r="E279" s="3" t="str">
        <f>IFERROR(__xludf.DUMMYFUNCTION("SPLIT(A279,""|"")")," CHQ/Offline &amp;/20221010/Visitjodhpur/4566 ")</f>
        <v> CHQ/Offline &amp;/20221010/Visitjodhpur/4566 </v>
      </c>
      <c r="F279" s="3" t="str">
        <f>IFERROR(__xludf.DUMMYFUNCTION("SPLIT(E279,""/"")")," CHQ")</f>
        <v> CHQ</v>
      </c>
      <c r="G279" s="3" t="str">
        <f>IFERROR(__xludf.DUMMYFUNCTION("""COMPUTED_VALUE"""),"Offline &amp;")</f>
        <v>Offline &amp;</v>
      </c>
      <c r="H279" s="3">
        <f>IFERROR(__xludf.DUMMYFUNCTION("""COMPUTED_VALUE"""),2.022101E7)</f>
        <v>20221010</v>
      </c>
      <c r="I279" s="3" t="str">
        <f>IFERROR(__xludf.DUMMYFUNCTION("""COMPUTED_VALUE"""),"Visitjodhpur")</f>
        <v>Visitjodhpur</v>
      </c>
      <c r="J279" s="3">
        <f>IFERROR(__xludf.DUMMYFUNCTION("""COMPUTED_VALUE"""),4566.0)</f>
        <v>4566</v>
      </c>
      <c r="K279" s="3" t="str">
        <f t="shared" ref="K279:L279" si="283">TRIM(F279)</f>
        <v>CHQ</v>
      </c>
      <c r="L279" s="3" t="str">
        <f t="shared" si="283"/>
        <v>Offline &amp;</v>
      </c>
      <c r="M279" s="3" t="str">
        <f t="shared" si="3"/>
        <v>Offline &amp;</v>
      </c>
      <c r="N279" s="3" t="str">
        <f>IFERROR(__xludf.DUMMYFUNCTION("SPLIT(M279,""&amp;"")"),"Offline ")</f>
        <v>Offline </v>
      </c>
      <c r="O279" s="3" t="str">
        <f t="shared" si="4"/>
        <v>Offline</v>
      </c>
      <c r="P279" s="3" t="str">
        <f t="shared" si="5"/>
        <v>Visitjodhpur</v>
      </c>
      <c r="Q279" s="3" t="str">
        <f t="shared" si="6"/>
        <v>Visitjodhpur</v>
      </c>
      <c r="R279" s="3">
        <f t="shared" si="7"/>
        <v>4566</v>
      </c>
    </row>
    <row r="280">
      <c r="A280" s="7" t="s">
        <v>151</v>
      </c>
      <c r="B280" s="8" t="s">
        <v>6</v>
      </c>
      <c r="C280" s="8">
        <v>67000.0</v>
      </c>
      <c r="E280" s="3" t="str">
        <f>IFERROR(__xludf.DUMMYFUNCTION("SPLIT(A280,""|"")")," VfS/Google Ads/20221013/visitJaisalmer/3455 ")</f>
        <v> VfS/Google Ads/20221013/visitJaisalmer/3455 </v>
      </c>
      <c r="F280" s="3" t="str">
        <f>IFERROR(__xludf.DUMMYFUNCTION("SPLIT(E280,""/"")")," VfS")</f>
        <v> VfS</v>
      </c>
      <c r="G280" s="3" t="str">
        <f>IFERROR(__xludf.DUMMYFUNCTION("""COMPUTED_VALUE"""),"Google Ads")</f>
        <v>Google Ads</v>
      </c>
      <c r="H280" s="3">
        <f>IFERROR(__xludf.DUMMYFUNCTION("""COMPUTED_VALUE"""),2.0221013E7)</f>
        <v>20221013</v>
      </c>
      <c r="I280" s="3" t="str">
        <f>IFERROR(__xludf.DUMMYFUNCTION("""COMPUTED_VALUE"""),"visitJaisalmer")</f>
        <v>visitJaisalmer</v>
      </c>
      <c r="J280" s="3">
        <f>IFERROR(__xludf.DUMMYFUNCTION("""COMPUTED_VALUE"""),3455.0)</f>
        <v>3455</v>
      </c>
      <c r="K280" s="3" t="str">
        <f t="shared" ref="K280:L280" si="284">TRIM(F280)</f>
        <v>VfS</v>
      </c>
      <c r="L280" s="3" t="str">
        <f t="shared" si="284"/>
        <v>Google Ads</v>
      </c>
      <c r="M280" s="3" t="str">
        <f t="shared" si="3"/>
        <v>Google Ads</v>
      </c>
      <c r="N280" s="3" t="str">
        <f>IFERROR(__xludf.DUMMYFUNCTION("SPLIT(M280,""&amp;"")"),"Google Ads")</f>
        <v>Google Ads</v>
      </c>
      <c r="O280" s="3" t="str">
        <f t="shared" si="4"/>
        <v>Google Ads</v>
      </c>
      <c r="P280" s="3" t="str">
        <f t="shared" si="5"/>
        <v>visitJaisalmer</v>
      </c>
      <c r="Q280" s="3" t="str">
        <f t="shared" si="6"/>
        <v>Visitjaisalmer</v>
      </c>
      <c r="R280" s="3">
        <f t="shared" si="7"/>
        <v>3455</v>
      </c>
    </row>
    <row r="281">
      <c r="A281" s="7" t="s">
        <v>136</v>
      </c>
      <c r="B281" s="8" t="s">
        <v>6</v>
      </c>
      <c r="C281" s="8">
        <v>73900.0</v>
      </c>
      <c r="E281" s="3" t="str">
        <f>IFERROR(__xludf.DUMMYFUNCTION("SPLIT(A281,""|"")")," VIN/TwiTter/20221016/visitbikaner/5666 ")</f>
        <v> VIN/TwiTter/20221016/visitbikaner/5666 </v>
      </c>
      <c r="F281" s="3" t="str">
        <f>IFERROR(__xludf.DUMMYFUNCTION("SPLIT(E281,""/"")")," VIN")</f>
        <v> VIN</v>
      </c>
      <c r="G281" s="3" t="str">
        <f>IFERROR(__xludf.DUMMYFUNCTION("""COMPUTED_VALUE"""),"TwiTter")</f>
        <v>TwiTter</v>
      </c>
      <c r="H281" s="3">
        <f>IFERROR(__xludf.DUMMYFUNCTION("""COMPUTED_VALUE"""),2.0221016E7)</f>
        <v>20221016</v>
      </c>
      <c r="I281" s="3" t="str">
        <f>IFERROR(__xludf.DUMMYFUNCTION("""COMPUTED_VALUE"""),"visitbikaner")</f>
        <v>visitbikaner</v>
      </c>
      <c r="J281" s="3">
        <f>IFERROR(__xludf.DUMMYFUNCTION("""COMPUTED_VALUE"""),5666.0)</f>
        <v>5666</v>
      </c>
      <c r="K281" s="3" t="str">
        <f t="shared" ref="K281:L281" si="285">TRIM(F281)</f>
        <v>VIN</v>
      </c>
      <c r="L281" s="3" t="str">
        <f t="shared" si="285"/>
        <v>TwiTter</v>
      </c>
      <c r="M281" s="3" t="str">
        <f t="shared" si="3"/>
        <v>Twitter</v>
      </c>
      <c r="N281" s="3" t="str">
        <f>IFERROR(__xludf.DUMMYFUNCTION("SPLIT(M281,""&amp;"")"),"Twitter")</f>
        <v>Twitter</v>
      </c>
      <c r="O281" s="3" t="str">
        <f t="shared" si="4"/>
        <v>Twitter</v>
      </c>
      <c r="P281" s="3" t="str">
        <f t="shared" si="5"/>
        <v>visitbikaner</v>
      </c>
      <c r="Q281" s="3" t="str">
        <f t="shared" si="6"/>
        <v>Visitbikaner</v>
      </c>
      <c r="R281" s="3">
        <f t="shared" si="7"/>
        <v>5666</v>
      </c>
    </row>
    <row r="282">
      <c r="A282" s="7" t="s">
        <v>137</v>
      </c>
      <c r="B282" s="8" t="s">
        <v>6</v>
      </c>
      <c r="C282" s="8">
        <v>97800.0</v>
      </c>
      <c r="E282" s="3" t="str">
        <f>IFERROR(__xludf.DUMMYFUNCTION("SPLIT(A282,""|"")")," NEFT/Facebook/20221019/Visitjaipur/5676 ")</f>
        <v> NEFT/Facebook/20221019/Visitjaipur/5676 </v>
      </c>
      <c r="F282" s="3" t="str">
        <f>IFERROR(__xludf.DUMMYFUNCTION("SPLIT(E282,""/"")")," NEFT")</f>
        <v> NEFT</v>
      </c>
      <c r="G282" s="3" t="str">
        <f>IFERROR(__xludf.DUMMYFUNCTION("""COMPUTED_VALUE"""),"Facebook")</f>
        <v>Facebook</v>
      </c>
      <c r="H282" s="3">
        <f>IFERROR(__xludf.DUMMYFUNCTION("""COMPUTED_VALUE"""),2.0221019E7)</f>
        <v>20221019</v>
      </c>
      <c r="I282" s="3" t="str">
        <f>IFERROR(__xludf.DUMMYFUNCTION("""COMPUTED_VALUE"""),"Visitjaipur")</f>
        <v>Visitjaipur</v>
      </c>
      <c r="J282" s="3">
        <f>IFERROR(__xludf.DUMMYFUNCTION("""COMPUTED_VALUE"""),5676.0)</f>
        <v>5676</v>
      </c>
      <c r="K282" s="3" t="str">
        <f t="shared" ref="K282:L282" si="286">TRIM(F282)</f>
        <v>NEFT</v>
      </c>
      <c r="L282" s="3" t="str">
        <f t="shared" si="286"/>
        <v>Facebook</v>
      </c>
      <c r="M282" s="3" t="str">
        <f t="shared" si="3"/>
        <v>Facebook</v>
      </c>
      <c r="N282" s="3" t="str">
        <f>IFERROR(__xludf.DUMMYFUNCTION("SPLIT(M282,""&amp;"")"),"Facebook")</f>
        <v>Facebook</v>
      </c>
      <c r="O282" s="3" t="str">
        <f t="shared" si="4"/>
        <v>Facebook</v>
      </c>
      <c r="P282" s="3" t="str">
        <f t="shared" si="5"/>
        <v>Visitjaipur</v>
      </c>
      <c r="Q282" s="3" t="str">
        <f t="shared" si="6"/>
        <v>Visitjaipur</v>
      </c>
      <c r="R282" s="3">
        <f t="shared" si="7"/>
        <v>5676</v>
      </c>
    </row>
    <row r="283">
      <c r="A283" s="7" t="s">
        <v>138</v>
      </c>
      <c r="B283" s="8" t="s">
        <v>6</v>
      </c>
      <c r="C283" s="8">
        <v>91200.0</v>
      </c>
      <c r="E283" s="3" t="str">
        <f>IFERROR(__xludf.DUMMYFUNCTION("SPLIT(A283,""|"")")," CHQ/YouTube &amp;/20221022/Visitrajasthan/4564 ")</f>
        <v> CHQ/YouTube &amp;/20221022/Visitrajasthan/4564 </v>
      </c>
      <c r="F283" s="3" t="str">
        <f>IFERROR(__xludf.DUMMYFUNCTION("SPLIT(E283,""/"")")," CHQ")</f>
        <v> CHQ</v>
      </c>
      <c r="G283" s="3" t="str">
        <f>IFERROR(__xludf.DUMMYFUNCTION("""COMPUTED_VALUE"""),"YouTube &amp;")</f>
        <v>YouTube &amp;</v>
      </c>
      <c r="H283" s="3">
        <f>IFERROR(__xludf.DUMMYFUNCTION("""COMPUTED_VALUE"""),2.0221022E7)</f>
        <v>20221022</v>
      </c>
      <c r="I283" s="3" t="str">
        <f>IFERROR(__xludf.DUMMYFUNCTION("""COMPUTED_VALUE"""),"Visitrajasthan")</f>
        <v>Visitrajasthan</v>
      </c>
      <c r="J283" s="3">
        <f>IFERROR(__xludf.DUMMYFUNCTION("""COMPUTED_VALUE"""),4564.0)</f>
        <v>4564</v>
      </c>
      <c r="K283" s="3" t="str">
        <f t="shared" ref="K283:L283" si="287">TRIM(F283)</f>
        <v>CHQ</v>
      </c>
      <c r="L283" s="3" t="str">
        <f t="shared" si="287"/>
        <v>YouTube &amp;</v>
      </c>
      <c r="M283" s="3" t="str">
        <f t="shared" si="3"/>
        <v>Youtube &amp;</v>
      </c>
      <c r="N283" s="3" t="str">
        <f>IFERROR(__xludf.DUMMYFUNCTION("SPLIT(M283,""&amp;"")"),"Youtube ")</f>
        <v>Youtube </v>
      </c>
      <c r="O283" s="3" t="str">
        <f t="shared" si="4"/>
        <v>Youtube</v>
      </c>
      <c r="P283" s="3" t="str">
        <f t="shared" si="5"/>
        <v>Visitrajasthan</v>
      </c>
      <c r="Q283" s="3" t="str">
        <f t="shared" si="6"/>
        <v>Visitrajasthan</v>
      </c>
      <c r="R283" s="3">
        <f t="shared" si="7"/>
        <v>4564</v>
      </c>
    </row>
    <row r="284">
      <c r="A284" s="7" t="s">
        <v>139</v>
      </c>
      <c r="B284" s="8" t="s">
        <v>6</v>
      </c>
      <c r="C284" s="8">
        <v>39200.0</v>
      </c>
      <c r="E284" s="3" t="str">
        <f>IFERROR(__xludf.DUMMYFUNCTION("SPLIT(A284,""|"")")," VfS/Instagram/20221025/visitudaipur/4565 ")</f>
        <v> VfS/Instagram/20221025/visitudaipur/4565 </v>
      </c>
      <c r="F284" s="3" t="str">
        <f>IFERROR(__xludf.DUMMYFUNCTION("SPLIT(E284,""/"")")," VfS")</f>
        <v> VfS</v>
      </c>
      <c r="G284" s="3" t="str">
        <f>IFERROR(__xludf.DUMMYFUNCTION("""COMPUTED_VALUE"""),"Instagram")</f>
        <v>Instagram</v>
      </c>
      <c r="H284" s="3">
        <f>IFERROR(__xludf.DUMMYFUNCTION("""COMPUTED_VALUE"""),2.0221025E7)</f>
        <v>20221025</v>
      </c>
      <c r="I284" s="3" t="str">
        <f>IFERROR(__xludf.DUMMYFUNCTION("""COMPUTED_VALUE"""),"visitudaipur")</f>
        <v>visitudaipur</v>
      </c>
      <c r="J284" s="3">
        <f>IFERROR(__xludf.DUMMYFUNCTION("""COMPUTED_VALUE"""),4565.0)</f>
        <v>4565</v>
      </c>
      <c r="K284" s="3" t="str">
        <f t="shared" ref="K284:L284" si="288">TRIM(F284)</f>
        <v>VfS</v>
      </c>
      <c r="L284" s="3" t="str">
        <f t="shared" si="288"/>
        <v>Instagram</v>
      </c>
      <c r="M284" s="3" t="str">
        <f t="shared" si="3"/>
        <v>Instagram</v>
      </c>
      <c r="N284" s="3" t="str">
        <f>IFERROR(__xludf.DUMMYFUNCTION("SPLIT(M284,""&amp;"")"),"Instagram")</f>
        <v>Instagram</v>
      </c>
      <c r="O284" s="3" t="str">
        <f t="shared" si="4"/>
        <v>Instagram</v>
      </c>
      <c r="P284" s="3" t="str">
        <f t="shared" si="5"/>
        <v>visitudaipur</v>
      </c>
      <c r="Q284" s="3" t="str">
        <f t="shared" si="6"/>
        <v>Visitudaipur</v>
      </c>
      <c r="R284" s="3">
        <f t="shared" si="7"/>
        <v>4565</v>
      </c>
    </row>
    <row r="285">
      <c r="A285" s="7" t="s">
        <v>140</v>
      </c>
      <c r="B285" s="8" t="s">
        <v>6</v>
      </c>
      <c r="C285" s="8">
        <v>72000.0</v>
      </c>
      <c r="E285" s="3" t="str">
        <f>IFERROR(__xludf.DUMMYFUNCTION("SPLIT(A285,""|"")")," VIN/OfflINe &amp;/20221028/Visitjodhpur/4566 ")</f>
        <v> VIN/OfflINe &amp;/20221028/Visitjodhpur/4566 </v>
      </c>
      <c r="F285" s="3" t="str">
        <f>IFERROR(__xludf.DUMMYFUNCTION("SPLIT(E285,""/"")")," VIN")</f>
        <v> VIN</v>
      </c>
      <c r="G285" s="3" t="str">
        <f>IFERROR(__xludf.DUMMYFUNCTION("""COMPUTED_VALUE"""),"OfflINe &amp;")</f>
        <v>OfflINe &amp;</v>
      </c>
      <c r="H285" s="3">
        <f>IFERROR(__xludf.DUMMYFUNCTION("""COMPUTED_VALUE"""),2.0221028E7)</f>
        <v>20221028</v>
      </c>
      <c r="I285" s="3" t="str">
        <f>IFERROR(__xludf.DUMMYFUNCTION("""COMPUTED_VALUE"""),"Visitjodhpur")</f>
        <v>Visitjodhpur</v>
      </c>
      <c r="J285" s="3">
        <f>IFERROR(__xludf.DUMMYFUNCTION("""COMPUTED_VALUE"""),4566.0)</f>
        <v>4566</v>
      </c>
      <c r="K285" s="3" t="str">
        <f t="shared" ref="K285:L285" si="289">TRIM(F285)</f>
        <v>VIN</v>
      </c>
      <c r="L285" s="3" t="str">
        <f t="shared" si="289"/>
        <v>OfflINe &amp;</v>
      </c>
      <c r="M285" s="3" t="str">
        <f t="shared" si="3"/>
        <v>Offline &amp;</v>
      </c>
      <c r="N285" s="3" t="str">
        <f>IFERROR(__xludf.DUMMYFUNCTION("SPLIT(M285,""&amp;"")"),"Offline ")</f>
        <v>Offline </v>
      </c>
      <c r="O285" s="3" t="str">
        <f t="shared" si="4"/>
        <v>Offline</v>
      </c>
      <c r="P285" s="3" t="str">
        <f t="shared" si="5"/>
        <v>Visitjodhpur</v>
      </c>
      <c r="Q285" s="3" t="str">
        <f t="shared" si="6"/>
        <v>Visitjodhpur</v>
      </c>
      <c r="R285" s="3">
        <f t="shared" si="7"/>
        <v>4566</v>
      </c>
    </row>
    <row r="286">
      <c r="A286" s="7" t="s">
        <v>141</v>
      </c>
      <c r="B286" s="8" t="s">
        <v>19</v>
      </c>
      <c r="C286" s="8">
        <v>66700.0</v>
      </c>
      <c r="E286" s="3" t="str">
        <f>IFERROR(__xludf.DUMMYFUNCTION("SPLIT(A286,""|"")")," CHQ/Facebook/20221101/Visitjaipur/5676 ")</f>
        <v> CHQ/Facebook/20221101/Visitjaipur/5676 </v>
      </c>
      <c r="F286" s="3" t="str">
        <f>IFERROR(__xludf.DUMMYFUNCTION("SPLIT(E286,""/"")")," CHQ")</f>
        <v> CHQ</v>
      </c>
      <c r="G286" s="3" t="str">
        <f>IFERROR(__xludf.DUMMYFUNCTION("""COMPUTED_VALUE"""),"Facebook")</f>
        <v>Facebook</v>
      </c>
      <c r="H286" s="3">
        <f>IFERROR(__xludf.DUMMYFUNCTION("""COMPUTED_VALUE"""),2.0221101E7)</f>
        <v>20221101</v>
      </c>
      <c r="I286" s="3" t="str">
        <f>IFERROR(__xludf.DUMMYFUNCTION("""COMPUTED_VALUE"""),"Visitjaipur")</f>
        <v>Visitjaipur</v>
      </c>
      <c r="J286" s="3">
        <f>IFERROR(__xludf.DUMMYFUNCTION("""COMPUTED_VALUE"""),5676.0)</f>
        <v>5676</v>
      </c>
      <c r="K286" s="3" t="str">
        <f t="shared" ref="K286:L286" si="290">TRIM(F286)</f>
        <v>CHQ</v>
      </c>
      <c r="L286" s="3" t="str">
        <f t="shared" si="290"/>
        <v>Facebook</v>
      </c>
      <c r="M286" s="3" t="str">
        <f t="shared" si="3"/>
        <v>Facebook</v>
      </c>
      <c r="N286" s="3" t="str">
        <f>IFERROR(__xludf.DUMMYFUNCTION("SPLIT(M286,""&amp;"")"),"Facebook")</f>
        <v>Facebook</v>
      </c>
      <c r="O286" s="3" t="str">
        <f t="shared" si="4"/>
        <v>Facebook</v>
      </c>
      <c r="P286" s="3" t="str">
        <f t="shared" si="5"/>
        <v>Visitjaipur</v>
      </c>
      <c r="Q286" s="3" t="str">
        <f t="shared" si="6"/>
        <v>Visitjaipur</v>
      </c>
      <c r="R286" s="3">
        <f t="shared" si="7"/>
        <v>5676</v>
      </c>
    </row>
    <row r="287">
      <c r="A287" s="7" t="s">
        <v>142</v>
      </c>
      <c r="B287" s="8" t="s">
        <v>19</v>
      </c>
      <c r="C287" s="8">
        <v>21900.0</v>
      </c>
      <c r="E287" s="3" t="str">
        <f>IFERROR(__xludf.DUMMYFUNCTION("SPLIT(A287,""|"")")," VfS/YouTube/20221104/Visitrajasthan/4564 ")</f>
        <v> VfS/YouTube/20221104/Visitrajasthan/4564 </v>
      </c>
      <c r="F287" s="3" t="str">
        <f>IFERROR(__xludf.DUMMYFUNCTION("SPLIT(E287,""/"")")," VfS")</f>
        <v> VfS</v>
      </c>
      <c r="G287" s="3" t="str">
        <f>IFERROR(__xludf.DUMMYFUNCTION("""COMPUTED_VALUE"""),"YouTube")</f>
        <v>YouTube</v>
      </c>
      <c r="H287" s="3">
        <f>IFERROR(__xludf.DUMMYFUNCTION("""COMPUTED_VALUE"""),2.0221104E7)</f>
        <v>20221104</v>
      </c>
      <c r="I287" s="3" t="str">
        <f>IFERROR(__xludf.DUMMYFUNCTION("""COMPUTED_VALUE"""),"Visitrajasthan")</f>
        <v>Visitrajasthan</v>
      </c>
      <c r="J287" s="3">
        <f>IFERROR(__xludf.DUMMYFUNCTION("""COMPUTED_VALUE"""),4564.0)</f>
        <v>4564</v>
      </c>
      <c r="K287" s="3" t="str">
        <f t="shared" ref="K287:L287" si="291">TRIM(F287)</f>
        <v>VfS</v>
      </c>
      <c r="L287" s="3" t="str">
        <f t="shared" si="291"/>
        <v>YouTube</v>
      </c>
      <c r="M287" s="3" t="str">
        <f t="shared" si="3"/>
        <v>Youtube</v>
      </c>
      <c r="N287" s="3" t="str">
        <f>IFERROR(__xludf.DUMMYFUNCTION("SPLIT(M287,""&amp;"")"),"Youtube")</f>
        <v>Youtube</v>
      </c>
      <c r="O287" s="3" t="str">
        <f t="shared" si="4"/>
        <v>Youtube</v>
      </c>
      <c r="P287" s="3" t="str">
        <f t="shared" si="5"/>
        <v>Visitrajasthan</v>
      </c>
      <c r="Q287" s="3" t="str">
        <f t="shared" si="6"/>
        <v>Visitrajasthan</v>
      </c>
      <c r="R287" s="3">
        <f t="shared" si="7"/>
        <v>4564</v>
      </c>
    </row>
    <row r="288">
      <c r="A288" s="7" t="s">
        <v>143</v>
      </c>
      <c r="B288" s="8" t="s">
        <v>19</v>
      </c>
      <c r="C288" s="8">
        <v>36600.0</v>
      </c>
      <c r="E288" s="3" t="str">
        <f>IFERROR(__xludf.DUMMYFUNCTION("SPLIT(A288,""|"")")," NEFT/Instagram/20221107/visitudaipur/4565 ")</f>
        <v> NEFT/Instagram/20221107/visitudaipur/4565 </v>
      </c>
      <c r="F288" s="3" t="str">
        <f>IFERROR(__xludf.DUMMYFUNCTION("SPLIT(E288,""/"")")," NEFT")</f>
        <v> NEFT</v>
      </c>
      <c r="G288" s="3" t="str">
        <f>IFERROR(__xludf.DUMMYFUNCTION("""COMPUTED_VALUE"""),"Instagram")</f>
        <v>Instagram</v>
      </c>
      <c r="H288" s="3">
        <f>IFERROR(__xludf.DUMMYFUNCTION("""COMPUTED_VALUE"""),2.0221107E7)</f>
        <v>20221107</v>
      </c>
      <c r="I288" s="3" t="str">
        <f>IFERROR(__xludf.DUMMYFUNCTION("""COMPUTED_VALUE"""),"visitudaipur")</f>
        <v>visitudaipur</v>
      </c>
      <c r="J288" s="3">
        <f>IFERROR(__xludf.DUMMYFUNCTION("""COMPUTED_VALUE"""),4565.0)</f>
        <v>4565</v>
      </c>
      <c r="K288" s="3" t="str">
        <f t="shared" ref="K288:L288" si="292">TRIM(F288)</f>
        <v>NEFT</v>
      </c>
      <c r="L288" s="3" t="str">
        <f t="shared" si="292"/>
        <v>Instagram</v>
      </c>
      <c r="M288" s="3" t="str">
        <f t="shared" si="3"/>
        <v>Instagram</v>
      </c>
      <c r="N288" s="3" t="str">
        <f>IFERROR(__xludf.DUMMYFUNCTION("SPLIT(M288,""&amp;"")"),"Instagram")</f>
        <v>Instagram</v>
      </c>
      <c r="O288" s="3" t="str">
        <f t="shared" si="4"/>
        <v>Instagram</v>
      </c>
      <c r="P288" s="3" t="str">
        <f t="shared" si="5"/>
        <v>visitudaipur</v>
      </c>
      <c r="Q288" s="3" t="str">
        <f t="shared" si="6"/>
        <v>Visitudaipur</v>
      </c>
      <c r="R288" s="3">
        <f t="shared" si="7"/>
        <v>4565</v>
      </c>
    </row>
    <row r="289">
      <c r="A289" s="7" t="s">
        <v>144</v>
      </c>
      <c r="B289" s="8" t="s">
        <v>19</v>
      </c>
      <c r="C289" s="8">
        <v>53500.0</v>
      </c>
      <c r="E289" s="3" t="str">
        <f>IFERROR(__xludf.DUMMYFUNCTION("SPLIT(A289,""|"")")," CHQ/Offline &amp;/20221110/Visitjodhpur/4566 ")</f>
        <v> CHQ/Offline &amp;/20221110/Visitjodhpur/4566 </v>
      </c>
      <c r="F289" s="3" t="str">
        <f>IFERROR(__xludf.DUMMYFUNCTION("SPLIT(E289,""/"")")," CHQ")</f>
        <v> CHQ</v>
      </c>
      <c r="G289" s="3" t="str">
        <f>IFERROR(__xludf.DUMMYFUNCTION("""COMPUTED_VALUE"""),"Offline &amp;")</f>
        <v>Offline &amp;</v>
      </c>
      <c r="H289" s="3">
        <f>IFERROR(__xludf.DUMMYFUNCTION("""COMPUTED_VALUE"""),2.022111E7)</f>
        <v>20221110</v>
      </c>
      <c r="I289" s="3" t="str">
        <f>IFERROR(__xludf.DUMMYFUNCTION("""COMPUTED_VALUE"""),"Visitjodhpur")</f>
        <v>Visitjodhpur</v>
      </c>
      <c r="J289" s="3">
        <f>IFERROR(__xludf.DUMMYFUNCTION("""COMPUTED_VALUE"""),4566.0)</f>
        <v>4566</v>
      </c>
      <c r="K289" s="3" t="str">
        <f t="shared" ref="K289:L289" si="293">TRIM(F289)</f>
        <v>CHQ</v>
      </c>
      <c r="L289" s="3" t="str">
        <f t="shared" si="293"/>
        <v>Offline &amp;</v>
      </c>
      <c r="M289" s="3" t="str">
        <f t="shared" si="3"/>
        <v>Offline &amp;</v>
      </c>
      <c r="N289" s="3" t="str">
        <f>IFERROR(__xludf.DUMMYFUNCTION("SPLIT(M289,""&amp;"")"),"Offline ")</f>
        <v>Offline </v>
      </c>
      <c r="O289" s="3" t="str">
        <f t="shared" si="4"/>
        <v>Offline</v>
      </c>
      <c r="P289" s="3" t="str">
        <f t="shared" si="5"/>
        <v>Visitjodhpur</v>
      </c>
      <c r="Q289" s="3" t="str">
        <f t="shared" si="6"/>
        <v>Visitjodhpur</v>
      </c>
      <c r="R289" s="3">
        <f t="shared" si="7"/>
        <v>4566</v>
      </c>
    </row>
    <row r="290">
      <c r="A290" s="7" t="s">
        <v>145</v>
      </c>
      <c r="B290" s="8" t="s">
        <v>19</v>
      </c>
      <c r="C290" s="8">
        <v>80000.0</v>
      </c>
      <c r="E290" s="3" t="str">
        <f>IFERROR(__xludf.DUMMYFUNCTION("SPLIT(A290,""|"")")," VfS/Google Ads/20221113/visitJaisalmer/3455 ")</f>
        <v> VfS/Google Ads/20221113/visitJaisalmer/3455 </v>
      </c>
      <c r="F290" s="3" t="str">
        <f>IFERROR(__xludf.DUMMYFUNCTION("SPLIT(E290,""/"")")," VfS")</f>
        <v> VfS</v>
      </c>
      <c r="G290" s="3" t="str">
        <f>IFERROR(__xludf.DUMMYFUNCTION("""COMPUTED_VALUE"""),"Google Ads")</f>
        <v>Google Ads</v>
      </c>
      <c r="H290" s="3">
        <f>IFERROR(__xludf.DUMMYFUNCTION("""COMPUTED_VALUE"""),2.0221113E7)</f>
        <v>20221113</v>
      </c>
      <c r="I290" s="3" t="str">
        <f>IFERROR(__xludf.DUMMYFUNCTION("""COMPUTED_VALUE"""),"visitJaisalmer")</f>
        <v>visitJaisalmer</v>
      </c>
      <c r="J290" s="3">
        <f>IFERROR(__xludf.DUMMYFUNCTION("""COMPUTED_VALUE"""),3455.0)</f>
        <v>3455</v>
      </c>
      <c r="K290" s="3" t="str">
        <f t="shared" ref="K290:L290" si="294">TRIM(F290)</f>
        <v>VfS</v>
      </c>
      <c r="L290" s="3" t="str">
        <f t="shared" si="294"/>
        <v>Google Ads</v>
      </c>
      <c r="M290" s="3" t="str">
        <f t="shared" si="3"/>
        <v>Google Ads</v>
      </c>
      <c r="N290" s="3" t="str">
        <f>IFERROR(__xludf.DUMMYFUNCTION("SPLIT(M290,""&amp;"")"),"Google Ads")</f>
        <v>Google Ads</v>
      </c>
      <c r="O290" s="3" t="str">
        <f t="shared" si="4"/>
        <v>Google Ads</v>
      </c>
      <c r="P290" s="3" t="str">
        <f t="shared" si="5"/>
        <v>visitJaisalmer</v>
      </c>
      <c r="Q290" s="3" t="str">
        <f t="shared" si="6"/>
        <v>Visitjaisalmer</v>
      </c>
      <c r="R290" s="3">
        <f t="shared" si="7"/>
        <v>3455</v>
      </c>
    </row>
    <row r="291">
      <c r="A291" s="7" t="s">
        <v>146</v>
      </c>
      <c r="B291" s="8" t="s">
        <v>19</v>
      </c>
      <c r="C291" s="8">
        <v>39900.0</v>
      </c>
      <c r="E291" s="3" t="str">
        <f>IFERROR(__xludf.DUMMYFUNCTION("SPLIT(A291,""|"")")," VIN/TwiTter/20221116/visitbikaner/5666 ")</f>
        <v> VIN/TwiTter/20221116/visitbikaner/5666 </v>
      </c>
      <c r="F291" s="3" t="str">
        <f>IFERROR(__xludf.DUMMYFUNCTION("SPLIT(E291,""/"")")," VIN")</f>
        <v> VIN</v>
      </c>
      <c r="G291" s="3" t="str">
        <f>IFERROR(__xludf.DUMMYFUNCTION("""COMPUTED_VALUE"""),"TwiTter")</f>
        <v>TwiTter</v>
      </c>
      <c r="H291" s="3">
        <f>IFERROR(__xludf.DUMMYFUNCTION("""COMPUTED_VALUE"""),2.0221116E7)</f>
        <v>20221116</v>
      </c>
      <c r="I291" s="3" t="str">
        <f>IFERROR(__xludf.DUMMYFUNCTION("""COMPUTED_VALUE"""),"visitbikaner")</f>
        <v>visitbikaner</v>
      </c>
      <c r="J291" s="3">
        <f>IFERROR(__xludf.DUMMYFUNCTION("""COMPUTED_VALUE"""),5666.0)</f>
        <v>5666</v>
      </c>
      <c r="K291" s="3" t="str">
        <f t="shared" ref="K291:L291" si="295">TRIM(F291)</f>
        <v>VIN</v>
      </c>
      <c r="L291" s="3" t="str">
        <f t="shared" si="295"/>
        <v>TwiTter</v>
      </c>
      <c r="M291" s="3" t="str">
        <f t="shared" si="3"/>
        <v>Twitter</v>
      </c>
      <c r="N291" s="3" t="str">
        <f>IFERROR(__xludf.DUMMYFUNCTION("SPLIT(M291,""&amp;"")"),"Twitter")</f>
        <v>Twitter</v>
      </c>
      <c r="O291" s="3" t="str">
        <f t="shared" si="4"/>
        <v>Twitter</v>
      </c>
      <c r="P291" s="3" t="str">
        <f t="shared" si="5"/>
        <v>visitbikaner</v>
      </c>
      <c r="Q291" s="3" t="str">
        <f t="shared" si="6"/>
        <v>Visitbikaner</v>
      </c>
      <c r="R291" s="3">
        <f t="shared" si="7"/>
        <v>5666</v>
      </c>
    </row>
    <row r="292">
      <c r="A292" s="7" t="s">
        <v>147</v>
      </c>
      <c r="B292" s="8" t="s">
        <v>19</v>
      </c>
      <c r="C292" s="8">
        <v>63000.0</v>
      </c>
      <c r="E292" s="3" t="str">
        <f>IFERROR(__xludf.DUMMYFUNCTION("SPLIT(A292,""|"")")," NEFT/Facebook/20221119/Visitjaipur/5676 ")</f>
        <v> NEFT/Facebook/20221119/Visitjaipur/5676 </v>
      </c>
      <c r="F292" s="3" t="str">
        <f>IFERROR(__xludf.DUMMYFUNCTION("SPLIT(E292,""/"")")," NEFT")</f>
        <v> NEFT</v>
      </c>
      <c r="G292" s="3" t="str">
        <f>IFERROR(__xludf.DUMMYFUNCTION("""COMPUTED_VALUE"""),"Facebook")</f>
        <v>Facebook</v>
      </c>
      <c r="H292" s="3">
        <f>IFERROR(__xludf.DUMMYFUNCTION("""COMPUTED_VALUE"""),2.0221119E7)</f>
        <v>20221119</v>
      </c>
      <c r="I292" s="3" t="str">
        <f>IFERROR(__xludf.DUMMYFUNCTION("""COMPUTED_VALUE"""),"Visitjaipur")</f>
        <v>Visitjaipur</v>
      </c>
      <c r="J292" s="3">
        <f>IFERROR(__xludf.DUMMYFUNCTION("""COMPUTED_VALUE"""),5676.0)</f>
        <v>5676</v>
      </c>
      <c r="K292" s="3" t="str">
        <f t="shared" ref="K292:L292" si="296">TRIM(F292)</f>
        <v>NEFT</v>
      </c>
      <c r="L292" s="3" t="str">
        <f t="shared" si="296"/>
        <v>Facebook</v>
      </c>
      <c r="M292" s="3" t="str">
        <f t="shared" si="3"/>
        <v>Facebook</v>
      </c>
      <c r="N292" s="3" t="str">
        <f>IFERROR(__xludf.DUMMYFUNCTION("SPLIT(M292,""&amp;"")"),"Facebook")</f>
        <v>Facebook</v>
      </c>
      <c r="O292" s="3" t="str">
        <f t="shared" si="4"/>
        <v>Facebook</v>
      </c>
      <c r="P292" s="3" t="str">
        <f t="shared" si="5"/>
        <v>Visitjaipur</v>
      </c>
      <c r="Q292" s="3" t="str">
        <f t="shared" si="6"/>
        <v>Visitjaipur</v>
      </c>
      <c r="R292" s="3">
        <f t="shared" si="7"/>
        <v>5676</v>
      </c>
    </row>
    <row r="293">
      <c r="A293" s="7" t="s">
        <v>148</v>
      </c>
      <c r="B293" s="8" t="s">
        <v>19</v>
      </c>
      <c r="C293" s="8">
        <v>73700.0</v>
      </c>
      <c r="E293" s="3" t="str">
        <f>IFERROR(__xludf.DUMMYFUNCTION("SPLIT(A293,""|"")")," CHQ/YouTube &amp;/20221122/Visitrajasthan/4564 ")</f>
        <v> CHQ/YouTube &amp;/20221122/Visitrajasthan/4564 </v>
      </c>
      <c r="F293" s="3" t="str">
        <f>IFERROR(__xludf.DUMMYFUNCTION("SPLIT(E293,""/"")")," CHQ")</f>
        <v> CHQ</v>
      </c>
      <c r="G293" s="3" t="str">
        <f>IFERROR(__xludf.DUMMYFUNCTION("""COMPUTED_VALUE"""),"YouTube &amp;")</f>
        <v>YouTube &amp;</v>
      </c>
      <c r="H293" s="3">
        <f>IFERROR(__xludf.DUMMYFUNCTION("""COMPUTED_VALUE"""),2.0221122E7)</f>
        <v>20221122</v>
      </c>
      <c r="I293" s="3" t="str">
        <f>IFERROR(__xludf.DUMMYFUNCTION("""COMPUTED_VALUE"""),"Visitrajasthan")</f>
        <v>Visitrajasthan</v>
      </c>
      <c r="J293" s="3">
        <f>IFERROR(__xludf.DUMMYFUNCTION("""COMPUTED_VALUE"""),4564.0)</f>
        <v>4564</v>
      </c>
      <c r="K293" s="3" t="str">
        <f t="shared" ref="K293:L293" si="297">TRIM(F293)</f>
        <v>CHQ</v>
      </c>
      <c r="L293" s="3" t="str">
        <f t="shared" si="297"/>
        <v>YouTube &amp;</v>
      </c>
      <c r="M293" s="3" t="str">
        <f t="shared" si="3"/>
        <v>Youtube &amp;</v>
      </c>
      <c r="N293" s="3" t="str">
        <f>IFERROR(__xludf.DUMMYFUNCTION("SPLIT(M293,""&amp;"")"),"Youtube ")</f>
        <v>Youtube </v>
      </c>
      <c r="O293" s="3" t="str">
        <f t="shared" si="4"/>
        <v>Youtube</v>
      </c>
      <c r="P293" s="3" t="str">
        <f t="shared" si="5"/>
        <v>Visitrajasthan</v>
      </c>
      <c r="Q293" s="3" t="str">
        <f t="shared" si="6"/>
        <v>Visitrajasthan</v>
      </c>
      <c r="R293" s="3">
        <f t="shared" si="7"/>
        <v>4564</v>
      </c>
    </row>
    <row r="294">
      <c r="A294" s="7" t="s">
        <v>149</v>
      </c>
      <c r="B294" s="8" t="s">
        <v>19</v>
      </c>
      <c r="C294" s="8">
        <v>60600.0</v>
      </c>
      <c r="E294" s="3" t="str">
        <f>IFERROR(__xludf.DUMMYFUNCTION("SPLIT(A294,""|"")")," VfS/Instagram/20221125/visitudaipur/4565 ")</f>
        <v> VfS/Instagram/20221125/visitudaipur/4565 </v>
      </c>
      <c r="F294" s="3" t="str">
        <f>IFERROR(__xludf.DUMMYFUNCTION("SPLIT(E294,""/"")")," VfS")</f>
        <v> VfS</v>
      </c>
      <c r="G294" s="3" t="str">
        <f>IFERROR(__xludf.DUMMYFUNCTION("""COMPUTED_VALUE"""),"Instagram")</f>
        <v>Instagram</v>
      </c>
      <c r="H294" s="3">
        <f>IFERROR(__xludf.DUMMYFUNCTION("""COMPUTED_VALUE"""),2.0221125E7)</f>
        <v>20221125</v>
      </c>
      <c r="I294" s="3" t="str">
        <f>IFERROR(__xludf.DUMMYFUNCTION("""COMPUTED_VALUE"""),"visitudaipur")</f>
        <v>visitudaipur</v>
      </c>
      <c r="J294" s="3">
        <f>IFERROR(__xludf.DUMMYFUNCTION("""COMPUTED_VALUE"""),4565.0)</f>
        <v>4565</v>
      </c>
      <c r="K294" s="3" t="str">
        <f t="shared" ref="K294:L294" si="298">TRIM(F294)</f>
        <v>VfS</v>
      </c>
      <c r="L294" s="3" t="str">
        <f t="shared" si="298"/>
        <v>Instagram</v>
      </c>
      <c r="M294" s="3" t="str">
        <f t="shared" si="3"/>
        <v>Instagram</v>
      </c>
      <c r="N294" s="3" t="str">
        <f>IFERROR(__xludf.DUMMYFUNCTION("SPLIT(M294,""&amp;"")"),"Instagram")</f>
        <v>Instagram</v>
      </c>
      <c r="O294" s="3" t="str">
        <f t="shared" si="4"/>
        <v>Instagram</v>
      </c>
      <c r="P294" s="3" t="str">
        <f t="shared" si="5"/>
        <v>visitudaipur</v>
      </c>
      <c r="Q294" s="3" t="str">
        <f t="shared" si="6"/>
        <v>Visitudaipur</v>
      </c>
      <c r="R294" s="3">
        <f t="shared" si="7"/>
        <v>4565</v>
      </c>
    </row>
    <row r="295">
      <c r="A295" s="7" t="s">
        <v>150</v>
      </c>
      <c r="B295" s="8" t="s">
        <v>19</v>
      </c>
      <c r="C295" s="8">
        <v>43000.0</v>
      </c>
      <c r="E295" s="3" t="str">
        <f>IFERROR(__xludf.DUMMYFUNCTION("SPLIT(A295,""|"")")," VIN/OfflINe &amp;/20221128/Visitjodhpur/4566 ")</f>
        <v> VIN/OfflINe &amp;/20221128/Visitjodhpur/4566 </v>
      </c>
      <c r="F295" s="3" t="str">
        <f>IFERROR(__xludf.DUMMYFUNCTION("SPLIT(E295,""/"")")," VIN")</f>
        <v> VIN</v>
      </c>
      <c r="G295" s="3" t="str">
        <f>IFERROR(__xludf.DUMMYFUNCTION("""COMPUTED_VALUE"""),"OfflINe &amp;")</f>
        <v>OfflINe &amp;</v>
      </c>
      <c r="H295" s="3">
        <f>IFERROR(__xludf.DUMMYFUNCTION("""COMPUTED_VALUE"""),2.0221128E7)</f>
        <v>20221128</v>
      </c>
      <c r="I295" s="3" t="str">
        <f>IFERROR(__xludf.DUMMYFUNCTION("""COMPUTED_VALUE"""),"Visitjodhpur")</f>
        <v>Visitjodhpur</v>
      </c>
      <c r="J295" s="3">
        <f>IFERROR(__xludf.DUMMYFUNCTION("""COMPUTED_VALUE"""),4566.0)</f>
        <v>4566</v>
      </c>
      <c r="K295" s="3" t="str">
        <f t="shared" ref="K295:L295" si="299">TRIM(F295)</f>
        <v>VIN</v>
      </c>
      <c r="L295" s="3" t="str">
        <f t="shared" si="299"/>
        <v>OfflINe &amp;</v>
      </c>
      <c r="M295" s="3" t="str">
        <f t="shared" si="3"/>
        <v>Offline &amp;</v>
      </c>
      <c r="N295" s="3" t="str">
        <f>IFERROR(__xludf.DUMMYFUNCTION("SPLIT(M295,""&amp;"")"),"Offline ")</f>
        <v>Offline </v>
      </c>
      <c r="O295" s="3" t="str">
        <f t="shared" si="4"/>
        <v>Offline</v>
      </c>
      <c r="P295" s="3" t="str">
        <f t="shared" si="5"/>
        <v>Visitjodhpur</v>
      </c>
      <c r="Q295" s="3" t="str">
        <f t="shared" si="6"/>
        <v>Visitjodhpur</v>
      </c>
      <c r="R295" s="3">
        <f t="shared" si="7"/>
        <v>4566</v>
      </c>
    </row>
    <row r="296">
      <c r="A296" s="7" t="s">
        <v>121</v>
      </c>
      <c r="B296" s="8" t="s">
        <v>20</v>
      </c>
      <c r="C296" s="8">
        <v>75000.0</v>
      </c>
      <c r="E296" s="3" t="str">
        <f>IFERROR(__xludf.DUMMYFUNCTION("SPLIT(A296,""|"")")," CHQ/Facebook/20221201/Visitjaipur/5676 ")</f>
        <v> CHQ/Facebook/20221201/Visitjaipur/5676 </v>
      </c>
      <c r="F296" s="3" t="str">
        <f>IFERROR(__xludf.DUMMYFUNCTION("SPLIT(E296,""/"")")," CHQ")</f>
        <v> CHQ</v>
      </c>
      <c r="G296" s="3" t="str">
        <f>IFERROR(__xludf.DUMMYFUNCTION("""COMPUTED_VALUE"""),"Facebook")</f>
        <v>Facebook</v>
      </c>
      <c r="H296" s="3">
        <f>IFERROR(__xludf.DUMMYFUNCTION("""COMPUTED_VALUE"""),2.0221201E7)</f>
        <v>20221201</v>
      </c>
      <c r="I296" s="3" t="str">
        <f>IFERROR(__xludf.DUMMYFUNCTION("""COMPUTED_VALUE"""),"Visitjaipur")</f>
        <v>Visitjaipur</v>
      </c>
      <c r="J296" s="3">
        <f>IFERROR(__xludf.DUMMYFUNCTION("""COMPUTED_VALUE"""),5676.0)</f>
        <v>5676</v>
      </c>
      <c r="K296" s="3" t="str">
        <f t="shared" ref="K296:L296" si="300">TRIM(F296)</f>
        <v>CHQ</v>
      </c>
      <c r="L296" s="3" t="str">
        <f t="shared" si="300"/>
        <v>Facebook</v>
      </c>
      <c r="M296" s="3" t="str">
        <f t="shared" si="3"/>
        <v>Facebook</v>
      </c>
      <c r="N296" s="3" t="str">
        <f>IFERROR(__xludf.DUMMYFUNCTION("SPLIT(M296,""&amp;"")"),"Facebook")</f>
        <v>Facebook</v>
      </c>
      <c r="O296" s="3" t="str">
        <f t="shared" si="4"/>
        <v>Facebook</v>
      </c>
      <c r="P296" s="3" t="str">
        <f t="shared" si="5"/>
        <v>Visitjaipur</v>
      </c>
      <c r="Q296" s="3" t="str">
        <f t="shared" si="6"/>
        <v>Visitjaipur</v>
      </c>
      <c r="R296" s="3">
        <f t="shared" si="7"/>
        <v>5676</v>
      </c>
    </row>
    <row r="297">
      <c r="A297" s="7" t="s">
        <v>122</v>
      </c>
      <c r="B297" s="8" t="s">
        <v>20</v>
      </c>
      <c r="C297" s="8">
        <v>38000.0</v>
      </c>
      <c r="E297" s="3" t="str">
        <f>IFERROR(__xludf.DUMMYFUNCTION("SPLIT(A297,""|"")")," VfS/YouTube/20221204/Visitrajasthan/4564 ")</f>
        <v> VfS/YouTube/20221204/Visitrajasthan/4564 </v>
      </c>
      <c r="F297" s="3" t="str">
        <f>IFERROR(__xludf.DUMMYFUNCTION("SPLIT(E297,""/"")")," VfS")</f>
        <v> VfS</v>
      </c>
      <c r="G297" s="3" t="str">
        <f>IFERROR(__xludf.DUMMYFUNCTION("""COMPUTED_VALUE"""),"YouTube")</f>
        <v>YouTube</v>
      </c>
      <c r="H297" s="3">
        <f>IFERROR(__xludf.DUMMYFUNCTION("""COMPUTED_VALUE"""),2.0221204E7)</f>
        <v>20221204</v>
      </c>
      <c r="I297" s="3" t="str">
        <f>IFERROR(__xludf.DUMMYFUNCTION("""COMPUTED_VALUE"""),"Visitrajasthan")</f>
        <v>Visitrajasthan</v>
      </c>
      <c r="J297" s="3">
        <f>IFERROR(__xludf.DUMMYFUNCTION("""COMPUTED_VALUE"""),4564.0)</f>
        <v>4564</v>
      </c>
      <c r="K297" s="3" t="str">
        <f t="shared" ref="K297:L297" si="301">TRIM(F297)</f>
        <v>VfS</v>
      </c>
      <c r="L297" s="3" t="str">
        <f t="shared" si="301"/>
        <v>YouTube</v>
      </c>
      <c r="M297" s="3" t="str">
        <f t="shared" si="3"/>
        <v>Youtube</v>
      </c>
      <c r="N297" s="3" t="str">
        <f>IFERROR(__xludf.DUMMYFUNCTION("SPLIT(M297,""&amp;"")"),"Youtube")</f>
        <v>Youtube</v>
      </c>
      <c r="O297" s="3" t="str">
        <f t="shared" si="4"/>
        <v>Youtube</v>
      </c>
      <c r="P297" s="3" t="str">
        <f t="shared" si="5"/>
        <v>Visitrajasthan</v>
      </c>
      <c r="Q297" s="3" t="str">
        <f t="shared" si="6"/>
        <v>Visitrajasthan</v>
      </c>
      <c r="R297" s="3">
        <f t="shared" si="7"/>
        <v>4564</v>
      </c>
    </row>
    <row r="298">
      <c r="A298" s="7" t="s">
        <v>123</v>
      </c>
      <c r="B298" s="8" t="s">
        <v>20</v>
      </c>
      <c r="C298" s="8">
        <v>43200.0</v>
      </c>
      <c r="E298" s="3" t="str">
        <f>IFERROR(__xludf.DUMMYFUNCTION("SPLIT(A298,""|"")")," NEFT/Instagram/20221207/visitudaipur/4565 ")</f>
        <v> NEFT/Instagram/20221207/visitudaipur/4565 </v>
      </c>
      <c r="F298" s="3" t="str">
        <f>IFERROR(__xludf.DUMMYFUNCTION("SPLIT(E298,""/"")")," NEFT")</f>
        <v> NEFT</v>
      </c>
      <c r="G298" s="3" t="str">
        <f>IFERROR(__xludf.DUMMYFUNCTION("""COMPUTED_VALUE"""),"Instagram")</f>
        <v>Instagram</v>
      </c>
      <c r="H298" s="3">
        <f>IFERROR(__xludf.DUMMYFUNCTION("""COMPUTED_VALUE"""),2.0221207E7)</f>
        <v>20221207</v>
      </c>
      <c r="I298" s="3" t="str">
        <f>IFERROR(__xludf.DUMMYFUNCTION("""COMPUTED_VALUE"""),"visitudaipur")</f>
        <v>visitudaipur</v>
      </c>
      <c r="J298" s="3">
        <f>IFERROR(__xludf.DUMMYFUNCTION("""COMPUTED_VALUE"""),4565.0)</f>
        <v>4565</v>
      </c>
      <c r="K298" s="3" t="str">
        <f t="shared" ref="K298:L298" si="302">TRIM(F298)</f>
        <v>NEFT</v>
      </c>
      <c r="L298" s="3" t="str">
        <f t="shared" si="302"/>
        <v>Instagram</v>
      </c>
      <c r="M298" s="3" t="str">
        <f t="shared" si="3"/>
        <v>Instagram</v>
      </c>
      <c r="N298" s="3" t="str">
        <f>IFERROR(__xludf.DUMMYFUNCTION("SPLIT(M298,""&amp;"")"),"Instagram")</f>
        <v>Instagram</v>
      </c>
      <c r="O298" s="3" t="str">
        <f t="shared" si="4"/>
        <v>Instagram</v>
      </c>
      <c r="P298" s="3" t="str">
        <f t="shared" si="5"/>
        <v>visitudaipur</v>
      </c>
      <c r="Q298" s="3" t="str">
        <f t="shared" si="6"/>
        <v>Visitudaipur</v>
      </c>
      <c r="R298" s="3">
        <f t="shared" si="7"/>
        <v>4565</v>
      </c>
    </row>
    <row r="299">
      <c r="A299" s="7" t="s">
        <v>124</v>
      </c>
      <c r="B299" s="8" t="s">
        <v>20</v>
      </c>
      <c r="C299" s="8">
        <v>58700.0</v>
      </c>
      <c r="E299" s="3" t="str">
        <f>IFERROR(__xludf.DUMMYFUNCTION("SPLIT(A299,""|"")")," CHQ/Offline &amp;/20221210/Visitjodhpur/4566 ")</f>
        <v> CHQ/Offline &amp;/20221210/Visitjodhpur/4566 </v>
      </c>
      <c r="F299" s="3" t="str">
        <f>IFERROR(__xludf.DUMMYFUNCTION("SPLIT(E299,""/"")")," CHQ")</f>
        <v> CHQ</v>
      </c>
      <c r="G299" s="3" t="str">
        <f>IFERROR(__xludf.DUMMYFUNCTION("""COMPUTED_VALUE"""),"Offline &amp;")</f>
        <v>Offline &amp;</v>
      </c>
      <c r="H299" s="3">
        <f>IFERROR(__xludf.DUMMYFUNCTION("""COMPUTED_VALUE"""),2.022121E7)</f>
        <v>20221210</v>
      </c>
      <c r="I299" s="3" t="str">
        <f>IFERROR(__xludf.DUMMYFUNCTION("""COMPUTED_VALUE"""),"Visitjodhpur")</f>
        <v>Visitjodhpur</v>
      </c>
      <c r="J299" s="3">
        <f>IFERROR(__xludf.DUMMYFUNCTION("""COMPUTED_VALUE"""),4566.0)</f>
        <v>4566</v>
      </c>
      <c r="K299" s="3" t="str">
        <f t="shared" ref="K299:L299" si="303">TRIM(F299)</f>
        <v>CHQ</v>
      </c>
      <c r="L299" s="3" t="str">
        <f t="shared" si="303"/>
        <v>Offline &amp;</v>
      </c>
      <c r="M299" s="3" t="str">
        <f t="shared" si="3"/>
        <v>Offline &amp;</v>
      </c>
      <c r="N299" s="3" t="str">
        <f>IFERROR(__xludf.DUMMYFUNCTION("SPLIT(M299,""&amp;"")"),"Offline ")</f>
        <v>Offline </v>
      </c>
      <c r="O299" s="3" t="str">
        <f t="shared" si="4"/>
        <v>Offline</v>
      </c>
      <c r="P299" s="3" t="str">
        <f t="shared" si="5"/>
        <v>Visitjodhpur</v>
      </c>
      <c r="Q299" s="3" t="str">
        <f t="shared" si="6"/>
        <v>Visitjodhpur</v>
      </c>
      <c r="R299" s="3">
        <f t="shared" si="7"/>
        <v>4566</v>
      </c>
    </row>
    <row r="300">
      <c r="A300" s="7" t="s">
        <v>125</v>
      </c>
      <c r="B300" s="8" t="s">
        <v>20</v>
      </c>
      <c r="C300" s="8">
        <v>68700.0</v>
      </c>
      <c r="E300" s="3" t="str">
        <f>IFERROR(__xludf.DUMMYFUNCTION("SPLIT(A300,""|"")")," VfS/Google Ads/20221213/visitJaisalmer/3455 ")</f>
        <v> VfS/Google Ads/20221213/visitJaisalmer/3455 </v>
      </c>
      <c r="F300" s="3" t="str">
        <f>IFERROR(__xludf.DUMMYFUNCTION("SPLIT(E300,""/"")")," VfS")</f>
        <v> VfS</v>
      </c>
      <c r="G300" s="3" t="str">
        <f>IFERROR(__xludf.DUMMYFUNCTION("""COMPUTED_VALUE"""),"Google Ads")</f>
        <v>Google Ads</v>
      </c>
      <c r="H300" s="3">
        <f>IFERROR(__xludf.DUMMYFUNCTION("""COMPUTED_VALUE"""),2.0221213E7)</f>
        <v>20221213</v>
      </c>
      <c r="I300" s="3" t="str">
        <f>IFERROR(__xludf.DUMMYFUNCTION("""COMPUTED_VALUE"""),"visitJaisalmer")</f>
        <v>visitJaisalmer</v>
      </c>
      <c r="J300" s="3">
        <f>IFERROR(__xludf.DUMMYFUNCTION("""COMPUTED_VALUE"""),3455.0)</f>
        <v>3455</v>
      </c>
      <c r="K300" s="3" t="str">
        <f t="shared" ref="K300:L300" si="304">TRIM(F300)</f>
        <v>VfS</v>
      </c>
      <c r="L300" s="3" t="str">
        <f t="shared" si="304"/>
        <v>Google Ads</v>
      </c>
      <c r="M300" s="3" t="str">
        <f t="shared" si="3"/>
        <v>Google Ads</v>
      </c>
      <c r="N300" s="3" t="str">
        <f>IFERROR(__xludf.DUMMYFUNCTION("SPLIT(M300,""&amp;"")"),"Google Ads")</f>
        <v>Google Ads</v>
      </c>
      <c r="O300" s="3" t="str">
        <f t="shared" si="4"/>
        <v>Google Ads</v>
      </c>
      <c r="P300" s="3" t="str">
        <f t="shared" si="5"/>
        <v>visitJaisalmer</v>
      </c>
      <c r="Q300" s="3" t="str">
        <f t="shared" si="6"/>
        <v>Visitjaisalmer</v>
      </c>
      <c r="R300" s="3">
        <f t="shared" si="7"/>
        <v>3455</v>
      </c>
    </row>
    <row r="301">
      <c r="A301" s="7" t="s">
        <v>126</v>
      </c>
      <c r="B301" s="8" t="s">
        <v>20</v>
      </c>
      <c r="C301" s="8">
        <v>57100.0</v>
      </c>
      <c r="E301" s="3" t="str">
        <f>IFERROR(__xludf.DUMMYFUNCTION("SPLIT(A301,""|"")")," VIN/TwiTter/20221216/visitbikaner/5666 ")</f>
        <v> VIN/TwiTter/20221216/visitbikaner/5666 </v>
      </c>
      <c r="F301" s="3" t="str">
        <f>IFERROR(__xludf.DUMMYFUNCTION("SPLIT(E301,""/"")")," VIN")</f>
        <v> VIN</v>
      </c>
      <c r="G301" s="3" t="str">
        <f>IFERROR(__xludf.DUMMYFUNCTION("""COMPUTED_VALUE"""),"TwiTter")</f>
        <v>TwiTter</v>
      </c>
      <c r="H301" s="3">
        <f>IFERROR(__xludf.DUMMYFUNCTION("""COMPUTED_VALUE"""),2.0221216E7)</f>
        <v>20221216</v>
      </c>
      <c r="I301" s="3" t="str">
        <f>IFERROR(__xludf.DUMMYFUNCTION("""COMPUTED_VALUE"""),"visitbikaner")</f>
        <v>visitbikaner</v>
      </c>
      <c r="J301" s="3">
        <f>IFERROR(__xludf.DUMMYFUNCTION("""COMPUTED_VALUE"""),5666.0)</f>
        <v>5666</v>
      </c>
      <c r="K301" s="3" t="str">
        <f t="shared" ref="K301:L301" si="305">TRIM(F301)</f>
        <v>VIN</v>
      </c>
      <c r="L301" s="3" t="str">
        <f t="shared" si="305"/>
        <v>TwiTter</v>
      </c>
      <c r="M301" s="3" t="str">
        <f t="shared" si="3"/>
        <v>Twitter</v>
      </c>
      <c r="N301" s="3" t="str">
        <f>IFERROR(__xludf.DUMMYFUNCTION("SPLIT(M301,""&amp;"")"),"Twitter")</f>
        <v>Twitter</v>
      </c>
      <c r="O301" s="3" t="str">
        <f t="shared" si="4"/>
        <v>Twitter</v>
      </c>
      <c r="P301" s="3" t="str">
        <f t="shared" si="5"/>
        <v>visitbikaner</v>
      </c>
      <c r="Q301" s="3" t="str">
        <f t="shared" si="6"/>
        <v>Visitbikaner</v>
      </c>
      <c r="R301" s="3">
        <f t="shared" si="7"/>
        <v>5666</v>
      </c>
    </row>
    <row r="302">
      <c r="A302" s="7" t="s">
        <v>127</v>
      </c>
      <c r="B302" s="8" t="s">
        <v>20</v>
      </c>
      <c r="C302" s="8">
        <v>54200.0</v>
      </c>
      <c r="E302" s="3" t="str">
        <f>IFERROR(__xludf.DUMMYFUNCTION("SPLIT(A302,""|"")")," NEFT/Facebook/20221219/Visitjaipur/5676 ")</f>
        <v> NEFT/Facebook/20221219/Visitjaipur/5676 </v>
      </c>
      <c r="F302" s="3" t="str">
        <f>IFERROR(__xludf.DUMMYFUNCTION("SPLIT(E302,""/"")")," NEFT")</f>
        <v> NEFT</v>
      </c>
      <c r="G302" s="3" t="str">
        <f>IFERROR(__xludf.DUMMYFUNCTION("""COMPUTED_VALUE"""),"Facebook")</f>
        <v>Facebook</v>
      </c>
      <c r="H302" s="3">
        <f>IFERROR(__xludf.DUMMYFUNCTION("""COMPUTED_VALUE"""),2.0221219E7)</f>
        <v>20221219</v>
      </c>
      <c r="I302" s="3" t="str">
        <f>IFERROR(__xludf.DUMMYFUNCTION("""COMPUTED_VALUE"""),"Visitjaipur")</f>
        <v>Visitjaipur</v>
      </c>
      <c r="J302" s="3">
        <f>IFERROR(__xludf.DUMMYFUNCTION("""COMPUTED_VALUE"""),5676.0)</f>
        <v>5676</v>
      </c>
      <c r="K302" s="3" t="str">
        <f t="shared" ref="K302:L302" si="306">TRIM(F302)</f>
        <v>NEFT</v>
      </c>
      <c r="L302" s="3" t="str">
        <f t="shared" si="306"/>
        <v>Facebook</v>
      </c>
      <c r="M302" s="3" t="str">
        <f t="shared" si="3"/>
        <v>Facebook</v>
      </c>
      <c r="N302" s="3" t="str">
        <f>IFERROR(__xludf.DUMMYFUNCTION("SPLIT(M302,""&amp;"")"),"Facebook")</f>
        <v>Facebook</v>
      </c>
      <c r="O302" s="3" t="str">
        <f t="shared" si="4"/>
        <v>Facebook</v>
      </c>
      <c r="P302" s="3" t="str">
        <f t="shared" si="5"/>
        <v>Visitjaipur</v>
      </c>
      <c r="Q302" s="3" t="str">
        <f t="shared" si="6"/>
        <v>Visitjaipur</v>
      </c>
      <c r="R302" s="3">
        <f t="shared" si="7"/>
        <v>5676</v>
      </c>
    </row>
    <row r="303">
      <c r="A303" s="7" t="s">
        <v>128</v>
      </c>
      <c r="B303" s="8" t="s">
        <v>20</v>
      </c>
      <c r="C303" s="8">
        <v>77800.0</v>
      </c>
      <c r="E303" s="3" t="str">
        <f>IFERROR(__xludf.DUMMYFUNCTION("SPLIT(A303,""|"")")," CHQ/YouTube &amp;/20221222/Visitrajasthan/4564 ")</f>
        <v> CHQ/YouTube &amp;/20221222/Visitrajasthan/4564 </v>
      </c>
      <c r="F303" s="3" t="str">
        <f>IFERROR(__xludf.DUMMYFUNCTION("SPLIT(E303,""/"")")," CHQ")</f>
        <v> CHQ</v>
      </c>
      <c r="G303" s="3" t="str">
        <f>IFERROR(__xludf.DUMMYFUNCTION("""COMPUTED_VALUE"""),"YouTube &amp;")</f>
        <v>YouTube &amp;</v>
      </c>
      <c r="H303" s="3">
        <f>IFERROR(__xludf.DUMMYFUNCTION("""COMPUTED_VALUE"""),2.0221222E7)</f>
        <v>20221222</v>
      </c>
      <c r="I303" s="3" t="str">
        <f>IFERROR(__xludf.DUMMYFUNCTION("""COMPUTED_VALUE"""),"Visitrajasthan")</f>
        <v>Visitrajasthan</v>
      </c>
      <c r="J303" s="3">
        <f>IFERROR(__xludf.DUMMYFUNCTION("""COMPUTED_VALUE"""),4564.0)</f>
        <v>4564</v>
      </c>
      <c r="K303" s="3" t="str">
        <f t="shared" ref="K303:L303" si="307">TRIM(F303)</f>
        <v>CHQ</v>
      </c>
      <c r="L303" s="3" t="str">
        <f t="shared" si="307"/>
        <v>YouTube &amp;</v>
      </c>
      <c r="M303" s="3" t="str">
        <f t="shared" si="3"/>
        <v>Youtube &amp;</v>
      </c>
      <c r="N303" s="3" t="str">
        <f>IFERROR(__xludf.DUMMYFUNCTION("SPLIT(M303,""&amp;"")"),"Youtube ")</f>
        <v>Youtube </v>
      </c>
      <c r="O303" s="3" t="str">
        <f t="shared" si="4"/>
        <v>Youtube</v>
      </c>
      <c r="P303" s="3" t="str">
        <f t="shared" si="5"/>
        <v>Visitrajasthan</v>
      </c>
      <c r="Q303" s="3" t="str">
        <f t="shared" si="6"/>
        <v>Visitrajasthan</v>
      </c>
      <c r="R303" s="3">
        <f t="shared" si="7"/>
        <v>4564</v>
      </c>
    </row>
    <row r="304">
      <c r="A304" s="7" t="s">
        <v>129</v>
      </c>
      <c r="B304" s="8" t="s">
        <v>20</v>
      </c>
      <c r="C304" s="8">
        <v>63500.0</v>
      </c>
      <c r="E304" s="3" t="str">
        <f>IFERROR(__xludf.DUMMYFUNCTION("SPLIT(A304,""|"")")," VfS/Instagram/20221225/visitudaipur/4565 ")</f>
        <v> VfS/Instagram/20221225/visitudaipur/4565 </v>
      </c>
      <c r="F304" s="3" t="str">
        <f>IFERROR(__xludf.DUMMYFUNCTION("SPLIT(E304,""/"")")," VfS")</f>
        <v> VfS</v>
      </c>
      <c r="G304" s="3" t="str">
        <f>IFERROR(__xludf.DUMMYFUNCTION("""COMPUTED_VALUE"""),"Instagram")</f>
        <v>Instagram</v>
      </c>
      <c r="H304" s="3">
        <f>IFERROR(__xludf.DUMMYFUNCTION("""COMPUTED_VALUE"""),2.0221225E7)</f>
        <v>20221225</v>
      </c>
      <c r="I304" s="3" t="str">
        <f>IFERROR(__xludf.DUMMYFUNCTION("""COMPUTED_VALUE"""),"visitudaipur")</f>
        <v>visitudaipur</v>
      </c>
      <c r="J304" s="3">
        <f>IFERROR(__xludf.DUMMYFUNCTION("""COMPUTED_VALUE"""),4565.0)</f>
        <v>4565</v>
      </c>
      <c r="K304" s="3" t="str">
        <f t="shared" ref="K304:L304" si="308">TRIM(F304)</f>
        <v>VfS</v>
      </c>
      <c r="L304" s="3" t="str">
        <f t="shared" si="308"/>
        <v>Instagram</v>
      </c>
      <c r="M304" s="3" t="str">
        <f t="shared" si="3"/>
        <v>Instagram</v>
      </c>
      <c r="N304" s="3" t="str">
        <f>IFERROR(__xludf.DUMMYFUNCTION("SPLIT(M304,""&amp;"")"),"Instagram")</f>
        <v>Instagram</v>
      </c>
      <c r="O304" s="3" t="str">
        <f t="shared" si="4"/>
        <v>Instagram</v>
      </c>
      <c r="P304" s="3" t="str">
        <f t="shared" si="5"/>
        <v>visitudaipur</v>
      </c>
      <c r="Q304" s="3" t="str">
        <f t="shared" si="6"/>
        <v>Visitudaipur</v>
      </c>
      <c r="R304" s="3">
        <f t="shared" si="7"/>
        <v>4565</v>
      </c>
    </row>
    <row r="305">
      <c r="A305" s="7" t="s">
        <v>130</v>
      </c>
      <c r="B305" s="8" t="s">
        <v>20</v>
      </c>
      <c r="C305" s="8">
        <v>68300.0</v>
      </c>
      <c r="E305" s="3" t="str">
        <f>IFERROR(__xludf.DUMMYFUNCTION("SPLIT(A305,""|"")")," VIN/OfflINe &amp;/20221228/Visitjodhpur/4566 ")</f>
        <v> VIN/OfflINe &amp;/20221228/Visitjodhpur/4566 </v>
      </c>
      <c r="F305" s="3" t="str">
        <f>IFERROR(__xludf.DUMMYFUNCTION("SPLIT(E305,""/"")")," VIN")</f>
        <v> VIN</v>
      </c>
      <c r="G305" s="3" t="str">
        <f>IFERROR(__xludf.DUMMYFUNCTION("""COMPUTED_VALUE"""),"OfflINe &amp;")</f>
        <v>OfflINe &amp;</v>
      </c>
      <c r="H305" s="3">
        <f>IFERROR(__xludf.DUMMYFUNCTION("""COMPUTED_VALUE"""),2.0221228E7)</f>
        <v>20221228</v>
      </c>
      <c r="I305" s="3" t="str">
        <f>IFERROR(__xludf.DUMMYFUNCTION("""COMPUTED_VALUE"""),"Visitjodhpur")</f>
        <v>Visitjodhpur</v>
      </c>
      <c r="J305" s="3">
        <f>IFERROR(__xludf.DUMMYFUNCTION("""COMPUTED_VALUE"""),4566.0)</f>
        <v>4566</v>
      </c>
      <c r="K305" s="3" t="str">
        <f t="shared" ref="K305:L305" si="309">TRIM(F305)</f>
        <v>VIN</v>
      </c>
      <c r="L305" s="3" t="str">
        <f t="shared" si="309"/>
        <v>OfflINe &amp;</v>
      </c>
      <c r="M305" s="3" t="str">
        <f t="shared" si="3"/>
        <v>Offline &amp;</v>
      </c>
      <c r="N305" s="3" t="str">
        <f>IFERROR(__xludf.DUMMYFUNCTION("SPLIT(M305,""&amp;"")"),"Offline ")</f>
        <v>Offline </v>
      </c>
      <c r="O305" s="3" t="str">
        <f t="shared" si="4"/>
        <v>Offline</v>
      </c>
      <c r="P305" s="3" t="str">
        <f t="shared" si="5"/>
        <v>Visitjodhpur</v>
      </c>
      <c r="Q305" s="3" t="str">
        <f t="shared" si="6"/>
        <v>Visitjodhpur</v>
      </c>
      <c r="R305" s="3">
        <f t="shared" si="7"/>
        <v>4566</v>
      </c>
    </row>
    <row r="306">
      <c r="A306" s="7" t="s">
        <v>131</v>
      </c>
      <c r="B306" s="8" t="s">
        <v>6</v>
      </c>
      <c r="C306" s="8">
        <v>62400.0</v>
      </c>
      <c r="E306" s="3" t="str">
        <f>IFERROR(__xludf.DUMMYFUNCTION("SPLIT(A306,""|"")")," CHQ/Facebook/20221001/Visitjaipur/5676 ")</f>
        <v> CHQ/Facebook/20221001/Visitjaipur/5676 </v>
      </c>
      <c r="F306" s="3" t="str">
        <f>IFERROR(__xludf.DUMMYFUNCTION("SPLIT(E306,""/"")")," CHQ")</f>
        <v> CHQ</v>
      </c>
      <c r="G306" s="3" t="str">
        <f>IFERROR(__xludf.DUMMYFUNCTION("""COMPUTED_VALUE"""),"Facebook")</f>
        <v>Facebook</v>
      </c>
      <c r="H306" s="3">
        <f>IFERROR(__xludf.DUMMYFUNCTION("""COMPUTED_VALUE"""),2.0221001E7)</f>
        <v>20221001</v>
      </c>
      <c r="I306" s="3" t="str">
        <f>IFERROR(__xludf.DUMMYFUNCTION("""COMPUTED_VALUE"""),"Visitjaipur")</f>
        <v>Visitjaipur</v>
      </c>
      <c r="J306" s="3">
        <f>IFERROR(__xludf.DUMMYFUNCTION("""COMPUTED_VALUE"""),5676.0)</f>
        <v>5676</v>
      </c>
      <c r="K306" s="3" t="str">
        <f t="shared" ref="K306:L306" si="310">TRIM(F306)</f>
        <v>CHQ</v>
      </c>
      <c r="L306" s="3" t="str">
        <f t="shared" si="310"/>
        <v>Facebook</v>
      </c>
      <c r="M306" s="3" t="str">
        <f t="shared" si="3"/>
        <v>Facebook</v>
      </c>
      <c r="N306" s="3" t="str">
        <f>IFERROR(__xludf.DUMMYFUNCTION("SPLIT(M306,""&amp;"")"),"Facebook")</f>
        <v>Facebook</v>
      </c>
      <c r="O306" s="3" t="str">
        <f t="shared" si="4"/>
        <v>Facebook</v>
      </c>
      <c r="P306" s="3" t="str">
        <f t="shared" si="5"/>
        <v>Visitjaipur</v>
      </c>
      <c r="Q306" s="3" t="str">
        <f t="shared" si="6"/>
        <v>Visitjaipur</v>
      </c>
      <c r="R306" s="3">
        <f t="shared" si="7"/>
        <v>5676</v>
      </c>
    </row>
    <row r="307">
      <c r="A307" s="7" t="s">
        <v>132</v>
      </c>
      <c r="B307" s="8" t="s">
        <v>6</v>
      </c>
      <c r="C307" s="8">
        <v>26800.0</v>
      </c>
      <c r="E307" s="3" t="str">
        <f>IFERROR(__xludf.DUMMYFUNCTION("SPLIT(A307,""|"")")," VfS/YouTube/20221004/Visitrajasthan/4564 ")</f>
        <v> VfS/YouTube/20221004/Visitrajasthan/4564 </v>
      </c>
      <c r="F307" s="3" t="str">
        <f>IFERROR(__xludf.DUMMYFUNCTION("SPLIT(E307,""/"")")," VfS")</f>
        <v> VfS</v>
      </c>
      <c r="G307" s="3" t="str">
        <f>IFERROR(__xludf.DUMMYFUNCTION("""COMPUTED_VALUE"""),"YouTube")</f>
        <v>YouTube</v>
      </c>
      <c r="H307" s="3">
        <f>IFERROR(__xludf.DUMMYFUNCTION("""COMPUTED_VALUE"""),2.0221004E7)</f>
        <v>20221004</v>
      </c>
      <c r="I307" s="3" t="str">
        <f>IFERROR(__xludf.DUMMYFUNCTION("""COMPUTED_VALUE"""),"Visitrajasthan")</f>
        <v>Visitrajasthan</v>
      </c>
      <c r="J307" s="3">
        <f>IFERROR(__xludf.DUMMYFUNCTION("""COMPUTED_VALUE"""),4564.0)</f>
        <v>4564</v>
      </c>
      <c r="K307" s="3" t="str">
        <f t="shared" ref="K307:L307" si="311">TRIM(F307)</f>
        <v>VfS</v>
      </c>
      <c r="L307" s="3" t="str">
        <f t="shared" si="311"/>
        <v>YouTube</v>
      </c>
      <c r="M307" s="3" t="str">
        <f t="shared" si="3"/>
        <v>Youtube</v>
      </c>
      <c r="N307" s="3" t="str">
        <f>IFERROR(__xludf.DUMMYFUNCTION("SPLIT(M307,""&amp;"")"),"Youtube")</f>
        <v>Youtube</v>
      </c>
      <c r="O307" s="3" t="str">
        <f t="shared" si="4"/>
        <v>Youtube</v>
      </c>
      <c r="P307" s="3" t="str">
        <f t="shared" si="5"/>
        <v>Visitrajasthan</v>
      </c>
      <c r="Q307" s="3" t="str">
        <f t="shared" si="6"/>
        <v>Visitrajasthan</v>
      </c>
      <c r="R307" s="3">
        <f t="shared" si="7"/>
        <v>4564</v>
      </c>
    </row>
    <row r="308">
      <c r="A308" s="7" t="s">
        <v>133</v>
      </c>
      <c r="B308" s="8" t="s">
        <v>6</v>
      </c>
      <c r="C308" s="8">
        <v>21600.0</v>
      </c>
      <c r="E308" s="3" t="str">
        <f>IFERROR(__xludf.DUMMYFUNCTION("SPLIT(A308,""|"")")," NEFT/Instagram/20221007/visitudaipur/4565 ")</f>
        <v> NEFT/Instagram/20221007/visitudaipur/4565 </v>
      </c>
      <c r="F308" s="3" t="str">
        <f>IFERROR(__xludf.DUMMYFUNCTION("SPLIT(E308,""/"")")," NEFT")</f>
        <v> NEFT</v>
      </c>
      <c r="G308" s="3" t="str">
        <f>IFERROR(__xludf.DUMMYFUNCTION("""COMPUTED_VALUE"""),"Instagram")</f>
        <v>Instagram</v>
      </c>
      <c r="H308" s="3">
        <f>IFERROR(__xludf.DUMMYFUNCTION("""COMPUTED_VALUE"""),2.0221007E7)</f>
        <v>20221007</v>
      </c>
      <c r="I308" s="3" t="str">
        <f>IFERROR(__xludf.DUMMYFUNCTION("""COMPUTED_VALUE"""),"visitudaipur")</f>
        <v>visitudaipur</v>
      </c>
      <c r="J308" s="3">
        <f>IFERROR(__xludf.DUMMYFUNCTION("""COMPUTED_VALUE"""),4565.0)</f>
        <v>4565</v>
      </c>
      <c r="K308" s="3" t="str">
        <f t="shared" ref="K308:L308" si="312">TRIM(F308)</f>
        <v>NEFT</v>
      </c>
      <c r="L308" s="3" t="str">
        <f t="shared" si="312"/>
        <v>Instagram</v>
      </c>
      <c r="M308" s="3" t="str">
        <f t="shared" si="3"/>
        <v>Instagram</v>
      </c>
      <c r="N308" s="3" t="str">
        <f>IFERROR(__xludf.DUMMYFUNCTION("SPLIT(M308,""&amp;"")"),"Instagram")</f>
        <v>Instagram</v>
      </c>
      <c r="O308" s="3" t="str">
        <f t="shared" si="4"/>
        <v>Instagram</v>
      </c>
      <c r="P308" s="3" t="str">
        <f t="shared" si="5"/>
        <v>visitudaipur</v>
      </c>
      <c r="Q308" s="3" t="str">
        <f t="shared" si="6"/>
        <v>Visitudaipur</v>
      </c>
      <c r="R308" s="3">
        <f t="shared" si="7"/>
        <v>4565</v>
      </c>
    </row>
    <row r="309">
      <c r="A309" s="7" t="s">
        <v>134</v>
      </c>
      <c r="B309" s="8" t="s">
        <v>6</v>
      </c>
      <c r="C309" s="8">
        <v>28500.0</v>
      </c>
      <c r="E309" s="3" t="str">
        <f>IFERROR(__xludf.DUMMYFUNCTION("SPLIT(A309,""|"")")," CHQ/Offline &amp;/20221010/Visitjodhpur/4566 ")</f>
        <v> CHQ/Offline &amp;/20221010/Visitjodhpur/4566 </v>
      </c>
      <c r="F309" s="3" t="str">
        <f>IFERROR(__xludf.DUMMYFUNCTION("SPLIT(E309,""/"")")," CHQ")</f>
        <v> CHQ</v>
      </c>
      <c r="G309" s="3" t="str">
        <f>IFERROR(__xludf.DUMMYFUNCTION("""COMPUTED_VALUE"""),"Offline &amp;")</f>
        <v>Offline &amp;</v>
      </c>
      <c r="H309" s="3">
        <f>IFERROR(__xludf.DUMMYFUNCTION("""COMPUTED_VALUE"""),2.022101E7)</f>
        <v>20221010</v>
      </c>
      <c r="I309" s="3" t="str">
        <f>IFERROR(__xludf.DUMMYFUNCTION("""COMPUTED_VALUE"""),"Visitjodhpur")</f>
        <v>Visitjodhpur</v>
      </c>
      <c r="J309" s="3">
        <f>IFERROR(__xludf.DUMMYFUNCTION("""COMPUTED_VALUE"""),4566.0)</f>
        <v>4566</v>
      </c>
      <c r="K309" s="3" t="str">
        <f t="shared" ref="K309:L309" si="313">TRIM(F309)</f>
        <v>CHQ</v>
      </c>
      <c r="L309" s="3" t="str">
        <f t="shared" si="313"/>
        <v>Offline &amp;</v>
      </c>
      <c r="M309" s="3" t="str">
        <f t="shared" si="3"/>
        <v>Offline &amp;</v>
      </c>
      <c r="N309" s="3" t="str">
        <f>IFERROR(__xludf.DUMMYFUNCTION("SPLIT(M309,""&amp;"")"),"Offline ")</f>
        <v>Offline </v>
      </c>
      <c r="O309" s="3" t="str">
        <f t="shared" si="4"/>
        <v>Offline</v>
      </c>
      <c r="P309" s="3" t="str">
        <f t="shared" si="5"/>
        <v>Visitjodhpur</v>
      </c>
      <c r="Q309" s="3" t="str">
        <f t="shared" si="6"/>
        <v>Visitjodhpur</v>
      </c>
      <c r="R309" s="3">
        <f t="shared" si="7"/>
        <v>4566</v>
      </c>
    </row>
    <row r="310">
      <c r="A310" s="7" t="s">
        <v>151</v>
      </c>
      <c r="B310" s="8" t="s">
        <v>6</v>
      </c>
      <c r="C310" s="8">
        <v>93600.0</v>
      </c>
      <c r="E310" s="3" t="str">
        <f>IFERROR(__xludf.DUMMYFUNCTION("SPLIT(A310,""|"")")," VfS/Google Ads/20221013/visitJaisalmer/3455 ")</f>
        <v> VfS/Google Ads/20221013/visitJaisalmer/3455 </v>
      </c>
      <c r="F310" s="3" t="str">
        <f>IFERROR(__xludf.DUMMYFUNCTION("SPLIT(E310,""/"")")," VfS")</f>
        <v> VfS</v>
      </c>
      <c r="G310" s="3" t="str">
        <f>IFERROR(__xludf.DUMMYFUNCTION("""COMPUTED_VALUE"""),"Google Ads")</f>
        <v>Google Ads</v>
      </c>
      <c r="H310" s="3">
        <f>IFERROR(__xludf.DUMMYFUNCTION("""COMPUTED_VALUE"""),2.0221013E7)</f>
        <v>20221013</v>
      </c>
      <c r="I310" s="3" t="str">
        <f>IFERROR(__xludf.DUMMYFUNCTION("""COMPUTED_VALUE"""),"visitJaisalmer")</f>
        <v>visitJaisalmer</v>
      </c>
      <c r="J310" s="3">
        <f>IFERROR(__xludf.DUMMYFUNCTION("""COMPUTED_VALUE"""),3455.0)</f>
        <v>3455</v>
      </c>
      <c r="K310" s="3" t="str">
        <f t="shared" ref="K310:L310" si="314">TRIM(F310)</f>
        <v>VfS</v>
      </c>
      <c r="L310" s="3" t="str">
        <f t="shared" si="314"/>
        <v>Google Ads</v>
      </c>
      <c r="M310" s="3" t="str">
        <f t="shared" si="3"/>
        <v>Google Ads</v>
      </c>
      <c r="N310" s="3" t="str">
        <f>IFERROR(__xludf.DUMMYFUNCTION("SPLIT(M310,""&amp;"")"),"Google Ads")</f>
        <v>Google Ads</v>
      </c>
      <c r="O310" s="3" t="str">
        <f t="shared" si="4"/>
        <v>Google Ads</v>
      </c>
      <c r="P310" s="3" t="str">
        <f t="shared" si="5"/>
        <v>visitJaisalmer</v>
      </c>
      <c r="Q310" s="3" t="str">
        <f t="shared" si="6"/>
        <v>Visitjaisalmer</v>
      </c>
      <c r="R310" s="3">
        <f t="shared" si="7"/>
        <v>3455</v>
      </c>
    </row>
    <row r="311">
      <c r="A311" s="7" t="s">
        <v>136</v>
      </c>
      <c r="B311" s="8" t="s">
        <v>6</v>
      </c>
      <c r="C311" s="8">
        <v>82900.0</v>
      </c>
      <c r="E311" s="3" t="str">
        <f>IFERROR(__xludf.DUMMYFUNCTION("SPLIT(A311,""|"")")," VIN/TwiTter/20221016/visitbikaner/5666 ")</f>
        <v> VIN/TwiTter/20221016/visitbikaner/5666 </v>
      </c>
      <c r="F311" s="3" t="str">
        <f>IFERROR(__xludf.DUMMYFUNCTION("SPLIT(E311,""/"")")," VIN")</f>
        <v> VIN</v>
      </c>
      <c r="G311" s="3" t="str">
        <f>IFERROR(__xludf.DUMMYFUNCTION("""COMPUTED_VALUE"""),"TwiTter")</f>
        <v>TwiTter</v>
      </c>
      <c r="H311" s="3">
        <f>IFERROR(__xludf.DUMMYFUNCTION("""COMPUTED_VALUE"""),2.0221016E7)</f>
        <v>20221016</v>
      </c>
      <c r="I311" s="3" t="str">
        <f>IFERROR(__xludf.DUMMYFUNCTION("""COMPUTED_VALUE"""),"visitbikaner")</f>
        <v>visitbikaner</v>
      </c>
      <c r="J311" s="3">
        <f>IFERROR(__xludf.DUMMYFUNCTION("""COMPUTED_VALUE"""),5666.0)</f>
        <v>5666</v>
      </c>
      <c r="K311" s="3" t="str">
        <f t="shared" ref="K311:L311" si="315">TRIM(F311)</f>
        <v>VIN</v>
      </c>
      <c r="L311" s="3" t="str">
        <f t="shared" si="315"/>
        <v>TwiTter</v>
      </c>
      <c r="M311" s="3" t="str">
        <f t="shared" si="3"/>
        <v>Twitter</v>
      </c>
      <c r="N311" s="3" t="str">
        <f>IFERROR(__xludf.DUMMYFUNCTION("SPLIT(M311,""&amp;"")"),"Twitter")</f>
        <v>Twitter</v>
      </c>
      <c r="O311" s="3" t="str">
        <f t="shared" si="4"/>
        <v>Twitter</v>
      </c>
      <c r="P311" s="3" t="str">
        <f t="shared" si="5"/>
        <v>visitbikaner</v>
      </c>
      <c r="Q311" s="3" t="str">
        <f t="shared" si="6"/>
        <v>Visitbikaner</v>
      </c>
      <c r="R311" s="3">
        <f t="shared" si="7"/>
        <v>5666</v>
      </c>
    </row>
    <row r="312">
      <c r="A312" s="7" t="s">
        <v>137</v>
      </c>
      <c r="B312" s="8" t="s">
        <v>6</v>
      </c>
      <c r="C312" s="8">
        <v>60400.0</v>
      </c>
      <c r="E312" s="3" t="str">
        <f>IFERROR(__xludf.DUMMYFUNCTION("SPLIT(A312,""|"")")," NEFT/Facebook/20221019/Visitjaipur/5676 ")</f>
        <v> NEFT/Facebook/20221019/Visitjaipur/5676 </v>
      </c>
      <c r="F312" s="3" t="str">
        <f>IFERROR(__xludf.DUMMYFUNCTION("SPLIT(E312,""/"")")," NEFT")</f>
        <v> NEFT</v>
      </c>
      <c r="G312" s="3" t="str">
        <f>IFERROR(__xludf.DUMMYFUNCTION("""COMPUTED_VALUE"""),"Facebook")</f>
        <v>Facebook</v>
      </c>
      <c r="H312" s="3">
        <f>IFERROR(__xludf.DUMMYFUNCTION("""COMPUTED_VALUE"""),2.0221019E7)</f>
        <v>20221019</v>
      </c>
      <c r="I312" s="3" t="str">
        <f>IFERROR(__xludf.DUMMYFUNCTION("""COMPUTED_VALUE"""),"Visitjaipur")</f>
        <v>Visitjaipur</v>
      </c>
      <c r="J312" s="3">
        <f>IFERROR(__xludf.DUMMYFUNCTION("""COMPUTED_VALUE"""),5676.0)</f>
        <v>5676</v>
      </c>
      <c r="K312" s="3" t="str">
        <f t="shared" ref="K312:L312" si="316">TRIM(F312)</f>
        <v>NEFT</v>
      </c>
      <c r="L312" s="3" t="str">
        <f t="shared" si="316"/>
        <v>Facebook</v>
      </c>
      <c r="M312" s="3" t="str">
        <f t="shared" si="3"/>
        <v>Facebook</v>
      </c>
      <c r="N312" s="3" t="str">
        <f>IFERROR(__xludf.DUMMYFUNCTION("SPLIT(M312,""&amp;"")"),"Facebook")</f>
        <v>Facebook</v>
      </c>
      <c r="O312" s="3" t="str">
        <f t="shared" si="4"/>
        <v>Facebook</v>
      </c>
      <c r="P312" s="3" t="str">
        <f t="shared" si="5"/>
        <v>Visitjaipur</v>
      </c>
      <c r="Q312" s="3" t="str">
        <f t="shared" si="6"/>
        <v>Visitjaipur</v>
      </c>
      <c r="R312" s="3">
        <f t="shared" si="7"/>
        <v>5676</v>
      </c>
    </row>
    <row r="313">
      <c r="A313" s="7" t="s">
        <v>138</v>
      </c>
      <c r="B313" s="8" t="s">
        <v>6</v>
      </c>
      <c r="C313" s="8">
        <v>37300.0</v>
      </c>
      <c r="E313" s="3" t="str">
        <f>IFERROR(__xludf.DUMMYFUNCTION("SPLIT(A313,""|"")")," CHQ/YouTube &amp;/20221022/Visitrajasthan/4564 ")</f>
        <v> CHQ/YouTube &amp;/20221022/Visitrajasthan/4564 </v>
      </c>
      <c r="F313" s="3" t="str">
        <f>IFERROR(__xludf.DUMMYFUNCTION("SPLIT(E313,""/"")")," CHQ")</f>
        <v> CHQ</v>
      </c>
      <c r="G313" s="3" t="str">
        <f>IFERROR(__xludf.DUMMYFUNCTION("""COMPUTED_VALUE"""),"YouTube &amp;")</f>
        <v>YouTube &amp;</v>
      </c>
      <c r="H313" s="3">
        <f>IFERROR(__xludf.DUMMYFUNCTION("""COMPUTED_VALUE"""),2.0221022E7)</f>
        <v>20221022</v>
      </c>
      <c r="I313" s="3" t="str">
        <f>IFERROR(__xludf.DUMMYFUNCTION("""COMPUTED_VALUE"""),"Visitrajasthan")</f>
        <v>Visitrajasthan</v>
      </c>
      <c r="J313" s="3">
        <f>IFERROR(__xludf.DUMMYFUNCTION("""COMPUTED_VALUE"""),4564.0)</f>
        <v>4564</v>
      </c>
      <c r="K313" s="3" t="str">
        <f t="shared" ref="K313:L313" si="317">TRIM(F313)</f>
        <v>CHQ</v>
      </c>
      <c r="L313" s="3" t="str">
        <f t="shared" si="317"/>
        <v>YouTube &amp;</v>
      </c>
      <c r="M313" s="3" t="str">
        <f t="shared" si="3"/>
        <v>Youtube &amp;</v>
      </c>
      <c r="N313" s="3" t="str">
        <f>IFERROR(__xludf.DUMMYFUNCTION("SPLIT(M313,""&amp;"")"),"Youtube ")</f>
        <v>Youtube </v>
      </c>
      <c r="O313" s="3" t="str">
        <f t="shared" si="4"/>
        <v>Youtube</v>
      </c>
      <c r="P313" s="3" t="str">
        <f t="shared" si="5"/>
        <v>Visitrajasthan</v>
      </c>
      <c r="Q313" s="3" t="str">
        <f t="shared" si="6"/>
        <v>Visitrajasthan</v>
      </c>
      <c r="R313" s="3">
        <f t="shared" si="7"/>
        <v>4564</v>
      </c>
    </row>
    <row r="314">
      <c r="A314" s="7" t="s">
        <v>139</v>
      </c>
      <c r="B314" s="8" t="s">
        <v>6</v>
      </c>
      <c r="C314" s="8">
        <v>54600.0</v>
      </c>
      <c r="E314" s="3" t="str">
        <f>IFERROR(__xludf.DUMMYFUNCTION("SPLIT(A314,""|"")")," VfS/Instagram/20221025/visitudaipur/4565 ")</f>
        <v> VfS/Instagram/20221025/visitudaipur/4565 </v>
      </c>
      <c r="F314" s="3" t="str">
        <f>IFERROR(__xludf.DUMMYFUNCTION("SPLIT(E314,""/"")")," VfS")</f>
        <v> VfS</v>
      </c>
      <c r="G314" s="3" t="str">
        <f>IFERROR(__xludf.DUMMYFUNCTION("""COMPUTED_VALUE"""),"Instagram")</f>
        <v>Instagram</v>
      </c>
      <c r="H314" s="3">
        <f>IFERROR(__xludf.DUMMYFUNCTION("""COMPUTED_VALUE"""),2.0221025E7)</f>
        <v>20221025</v>
      </c>
      <c r="I314" s="3" t="str">
        <f>IFERROR(__xludf.DUMMYFUNCTION("""COMPUTED_VALUE"""),"visitudaipur")</f>
        <v>visitudaipur</v>
      </c>
      <c r="J314" s="3">
        <f>IFERROR(__xludf.DUMMYFUNCTION("""COMPUTED_VALUE"""),4565.0)</f>
        <v>4565</v>
      </c>
      <c r="K314" s="3" t="str">
        <f t="shared" ref="K314:L314" si="318">TRIM(F314)</f>
        <v>VfS</v>
      </c>
      <c r="L314" s="3" t="str">
        <f t="shared" si="318"/>
        <v>Instagram</v>
      </c>
      <c r="M314" s="3" t="str">
        <f t="shared" si="3"/>
        <v>Instagram</v>
      </c>
      <c r="N314" s="3" t="str">
        <f>IFERROR(__xludf.DUMMYFUNCTION("SPLIT(M314,""&amp;"")"),"Instagram")</f>
        <v>Instagram</v>
      </c>
      <c r="O314" s="3" t="str">
        <f t="shared" si="4"/>
        <v>Instagram</v>
      </c>
      <c r="P314" s="3" t="str">
        <f t="shared" si="5"/>
        <v>visitudaipur</v>
      </c>
      <c r="Q314" s="3" t="str">
        <f t="shared" si="6"/>
        <v>Visitudaipur</v>
      </c>
      <c r="R314" s="3">
        <f t="shared" si="7"/>
        <v>4565</v>
      </c>
    </row>
    <row r="315">
      <c r="A315" s="7" t="s">
        <v>140</v>
      </c>
      <c r="B315" s="8" t="s">
        <v>6</v>
      </c>
      <c r="C315" s="8">
        <v>71800.0</v>
      </c>
      <c r="E315" s="3" t="str">
        <f>IFERROR(__xludf.DUMMYFUNCTION("SPLIT(A315,""|"")")," VIN/OfflINe &amp;/20221028/Visitjodhpur/4566 ")</f>
        <v> VIN/OfflINe &amp;/20221028/Visitjodhpur/4566 </v>
      </c>
      <c r="F315" s="3" t="str">
        <f>IFERROR(__xludf.DUMMYFUNCTION("SPLIT(E315,""/"")")," VIN")</f>
        <v> VIN</v>
      </c>
      <c r="G315" s="3" t="str">
        <f>IFERROR(__xludf.DUMMYFUNCTION("""COMPUTED_VALUE"""),"OfflINe &amp;")</f>
        <v>OfflINe &amp;</v>
      </c>
      <c r="H315" s="3">
        <f>IFERROR(__xludf.DUMMYFUNCTION("""COMPUTED_VALUE"""),2.0221028E7)</f>
        <v>20221028</v>
      </c>
      <c r="I315" s="3" t="str">
        <f>IFERROR(__xludf.DUMMYFUNCTION("""COMPUTED_VALUE"""),"Visitjodhpur")</f>
        <v>Visitjodhpur</v>
      </c>
      <c r="J315" s="3">
        <f>IFERROR(__xludf.DUMMYFUNCTION("""COMPUTED_VALUE"""),4566.0)</f>
        <v>4566</v>
      </c>
      <c r="K315" s="3" t="str">
        <f t="shared" ref="K315:L315" si="319">TRIM(F315)</f>
        <v>VIN</v>
      </c>
      <c r="L315" s="3" t="str">
        <f t="shared" si="319"/>
        <v>OfflINe &amp;</v>
      </c>
      <c r="M315" s="3" t="str">
        <f t="shared" si="3"/>
        <v>Offline &amp;</v>
      </c>
      <c r="N315" s="3" t="str">
        <f>IFERROR(__xludf.DUMMYFUNCTION("SPLIT(M315,""&amp;"")"),"Offline ")</f>
        <v>Offline </v>
      </c>
      <c r="O315" s="3" t="str">
        <f t="shared" si="4"/>
        <v>Offline</v>
      </c>
      <c r="P315" s="3" t="str">
        <f t="shared" si="5"/>
        <v>Visitjodhpur</v>
      </c>
      <c r="Q315" s="3" t="str">
        <f t="shared" si="6"/>
        <v>Visitjodhpur</v>
      </c>
      <c r="R315" s="3">
        <f t="shared" si="7"/>
        <v>4566</v>
      </c>
    </row>
    <row r="316">
      <c r="A316" s="7" t="s">
        <v>141</v>
      </c>
      <c r="B316" s="8" t="s">
        <v>19</v>
      </c>
      <c r="C316" s="8">
        <v>16700.0</v>
      </c>
      <c r="E316" s="3" t="str">
        <f>IFERROR(__xludf.DUMMYFUNCTION("SPLIT(A316,""|"")")," CHQ/Facebook/20221101/Visitjaipur/5676 ")</f>
        <v> CHQ/Facebook/20221101/Visitjaipur/5676 </v>
      </c>
      <c r="F316" s="3" t="str">
        <f>IFERROR(__xludf.DUMMYFUNCTION("SPLIT(E316,""/"")")," CHQ")</f>
        <v> CHQ</v>
      </c>
      <c r="G316" s="3" t="str">
        <f>IFERROR(__xludf.DUMMYFUNCTION("""COMPUTED_VALUE"""),"Facebook")</f>
        <v>Facebook</v>
      </c>
      <c r="H316" s="3">
        <f>IFERROR(__xludf.DUMMYFUNCTION("""COMPUTED_VALUE"""),2.0221101E7)</f>
        <v>20221101</v>
      </c>
      <c r="I316" s="3" t="str">
        <f>IFERROR(__xludf.DUMMYFUNCTION("""COMPUTED_VALUE"""),"Visitjaipur")</f>
        <v>Visitjaipur</v>
      </c>
      <c r="J316" s="3">
        <f>IFERROR(__xludf.DUMMYFUNCTION("""COMPUTED_VALUE"""),5676.0)</f>
        <v>5676</v>
      </c>
      <c r="K316" s="3" t="str">
        <f t="shared" ref="K316:L316" si="320">TRIM(F316)</f>
        <v>CHQ</v>
      </c>
      <c r="L316" s="3" t="str">
        <f t="shared" si="320"/>
        <v>Facebook</v>
      </c>
      <c r="M316" s="3" t="str">
        <f t="shared" si="3"/>
        <v>Facebook</v>
      </c>
      <c r="N316" s="3" t="str">
        <f>IFERROR(__xludf.DUMMYFUNCTION("SPLIT(M316,""&amp;"")"),"Facebook")</f>
        <v>Facebook</v>
      </c>
      <c r="O316" s="3" t="str">
        <f t="shared" si="4"/>
        <v>Facebook</v>
      </c>
      <c r="P316" s="3" t="str">
        <f t="shared" si="5"/>
        <v>Visitjaipur</v>
      </c>
      <c r="Q316" s="3" t="str">
        <f t="shared" si="6"/>
        <v>Visitjaipur</v>
      </c>
      <c r="R316" s="3">
        <f t="shared" si="7"/>
        <v>5676</v>
      </c>
    </row>
    <row r="317">
      <c r="A317" s="7" t="s">
        <v>142</v>
      </c>
      <c r="B317" s="8" t="s">
        <v>19</v>
      </c>
      <c r="C317" s="8">
        <v>63300.0</v>
      </c>
      <c r="E317" s="3" t="str">
        <f>IFERROR(__xludf.DUMMYFUNCTION("SPLIT(A317,""|"")")," VfS/YouTube/20221104/Visitrajasthan/4564 ")</f>
        <v> VfS/YouTube/20221104/Visitrajasthan/4564 </v>
      </c>
      <c r="F317" s="3" t="str">
        <f>IFERROR(__xludf.DUMMYFUNCTION("SPLIT(E317,""/"")")," VfS")</f>
        <v> VfS</v>
      </c>
      <c r="G317" s="3" t="str">
        <f>IFERROR(__xludf.DUMMYFUNCTION("""COMPUTED_VALUE"""),"YouTube")</f>
        <v>YouTube</v>
      </c>
      <c r="H317" s="3">
        <f>IFERROR(__xludf.DUMMYFUNCTION("""COMPUTED_VALUE"""),2.0221104E7)</f>
        <v>20221104</v>
      </c>
      <c r="I317" s="3" t="str">
        <f>IFERROR(__xludf.DUMMYFUNCTION("""COMPUTED_VALUE"""),"Visitrajasthan")</f>
        <v>Visitrajasthan</v>
      </c>
      <c r="J317" s="3">
        <f>IFERROR(__xludf.DUMMYFUNCTION("""COMPUTED_VALUE"""),4564.0)</f>
        <v>4564</v>
      </c>
      <c r="K317" s="3" t="str">
        <f t="shared" ref="K317:L317" si="321">TRIM(F317)</f>
        <v>VfS</v>
      </c>
      <c r="L317" s="3" t="str">
        <f t="shared" si="321"/>
        <v>YouTube</v>
      </c>
      <c r="M317" s="3" t="str">
        <f t="shared" si="3"/>
        <v>Youtube</v>
      </c>
      <c r="N317" s="3" t="str">
        <f>IFERROR(__xludf.DUMMYFUNCTION("SPLIT(M317,""&amp;"")"),"Youtube")</f>
        <v>Youtube</v>
      </c>
      <c r="O317" s="3" t="str">
        <f t="shared" si="4"/>
        <v>Youtube</v>
      </c>
      <c r="P317" s="3" t="str">
        <f t="shared" si="5"/>
        <v>Visitrajasthan</v>
      </c>
      <c r="Q317" s="3" t="str">
        <f t="shared" si="6"/>
        <v>Visitrajasthan</v>
      </c>
      <c r="R317" s="3">
        <f t="shared" si="7"/>
        <v>4564</v>
      </c>
    </row>
    <row r="318">
      <c r="A318" s="7" t="s">
        <v>143</v>
      </c>
      <c r="B318" s="8" t="s">
        <v>19</v>
      </c>
      <c r="C318" s="8">
        <v>13400.0</v>
      </c>
      <c r="E318" s="3" t="str">
        <f>IFERROR(__xludf.DUMMYFUNCTION("SPLIT(A318,""|"")")," NEFT/Instagram/20221107/visitudaipur/4565 ")</f>
        <v> NEFT/Instagram/20221107/visitudaipur/4565 </v>
      </c>
      <c r="F318" s="3" t="str">
        <f>IFERROR(__xludf.DUMMYFUNCTION("SPLIT(E318,""/"")")," NEFT")</f>
        <v> NEFT</v>
      </c>
      <c r="G318" s="3" t="str">
        <f>IFERROR(__xludf.DUMMYFUNCTION("""COMPUTED_VALUE"""),"Instagram")</f>
        <v>Instagram</v>
      </c>
      <c r="H318" s="3">
        <f>IFERROR(__xludf.DUMMYFUNCTION("""COMPUTED_VALUE"""),2.0221107E7)</f>
        <v>20221107</v>
      </c>
      <c r="I318" s="3" t="str">
        <f>IFERROR(__xludf.DUMMYFUNCTION("""COMPUTED_VALUE"""),"visitudaipur")</f>
        <v>visitudaipur</v>
      </c>
      <c r="J318" s="3">
        <f>IFERROR(__xludf.DUMMYFUNCTION("""COMPUTED_VALUE"""),4565.0)</f>
        <v>4565</v>
      </c>
      <c r="K318" s="3" t="str">
        <f t="shared" ref="K318:L318" si="322">TRIM(F318)</f>
        <v>NEFT</v>
      </c>
      <c r="L318" s="3" t="str">
        <f t="shared" si="322"/>
        <v>Instagram</v>
      </c>
      <c r="M318" s="3" t="str">
        <f t="shared" si="3"/>
        <v>Instagram</v>
      </c>
      <c r="N318" s="3" t="str">
        <f>IFERROR(__xludf.DUMMYFUNCTION("SPLIT(M318,""&amp;"")"),"Instagram")</f>
        <v>Instagram</v>
      </c>
      <c r="O318" s="3" t="str">
        <f t="shared" si="4"/>
        <v>Instagram</v>
      </c>
      <c r="P318" s="3" t="str">
        <f t="shared" si="5"/>
        <v>visitudaipur</v>
      </c>
      <c r="Q318" s="3" t="str">
        <f t="shared" si="6"/>
        <v>Visitudaipur</v>
      </c>
      <c r="R318" s="3">
        <f t="shared" si="7"/>
        <v>4565</v>
      </c>
    </row>
    <row r="319">
      <c r="A319" s="7" t="s">
        <v>144</v>
      </c>
      <c r="B319" s="8" t="s">
        <v>19</v>
      </c>
      <c r="C319" s="8">
        <v>66200.0</v>
      </c>
      <c r="E319" s="3" t="str">
        <f>IFERROR(__xludf.DUMMYFUNCTION("SPLIT(A319,""|"")")," CHQ/Offline &amp;/20221110/Visitjodhpur/4566 ")</f>
        <v> CHQ/Offline &amp;/20221110/Visitjodhpur/4566 </v>
      </c>
      <c r="F319" s="3" t="str">
        <f>IFERROR(__xludf.DUMMYFUNCTION("SPLIT(E319,""/"")")," CHQ")</f>
        <v> CHQ</v>
      </c>
      <c r="G319" s="3" t="str">
        <f>IFERROR(__xludf.DUMMYFUNCTION("""COMPUTED_VALUE"""),"Offline &amp;")</f>
        <v>Offline &amp;</v>
      </c>
      <c r="H319" s="3">
        <f>IFERROR(__xludf.DUMMYFUNCTION("""COMPUTED_VALUE"""),2.022111E7)</f>
        <v>20221110</v>
      </c>
      <c r="I319" s="3" t="str">
        <f>IFERROR(__xludf.DUMMYFUNCTION("""COMPUTED_VALUE"""),"Visitjodhpur")</f>
        <v>Visitjodhpur</v>
      </c>
      <c r="J319" s="3">
        <f>IFERROR(__xludf.DUMMYFUNCTION("""COMPUTED_VALUE"""),4566.0)</f>
        <v>4566</v>
      </c>
      <c r="K319" s="3" t="str">
        <f t="shared" ref="K319:L319" si="323">TRIM(F319)</f>
        <v>CHQ</v>
      </c>
      <c r="L319" s="3" t="str">
        <f t="shared" si="323"/>
        <v>Offline &amp;</v>
      </c>
      <c r="M319" s="3" t="str">
        <f t="shared" si="3"/>
        <v>Offline &amp;</v>
      </c>
      <c r="N319" s="3" t="str">
        <f>IFERROR(__xludf.DUMMYFUNCTION("SPLIT(M319,""&amp;"")"),"Offline ")</f>
        <v>Offline </v>
      </c>
      <c r="O319" s="3" t="str">
        <f t="shared" si="4"/>
        <v>Offline</v>
      </c>
      <c r="P319" s="3" t="str">
        <f t="shared" si="5"/>
        <v>Visitjodhpur</v>
      </c>
      <c r="Q319" s="3" t="str">
        <f t="shared" si="6"/>
        <v>Visitjodhpur</v>
      </c>
      <c r="R319" s="3">
        <f t="shared" si="7"/>
        <v>4566</v>
      </c>
    </row>
    <row r="320">
      <c r="A320" s="7" t="s">
        <v>145</v>
      </c>
      <c r="B320" s="8" t="s">
        <v>19</v>
      </c>
      <c r="C320" s="8">
        <v>63000.0</v>
      </c>
      <c r="E320" s="3" t="str">
        <f>IFERROR(__xludf.DUMMYFUNCTION("SPLIT(A320,""|"")")," VfS/Google Ads/20221113/visitJaisalmer/3455 ")</f>
        <v> VfS/Google Ads/20221113/visitJaisalmer/3455 </v>
      </c>
      <c r="F320" s="3" t="str">
        <f>IFERROR(__xludf.DUMMYFUNCTION("SPLIT(E320,""/"")")," VfS")</f>
        <v> VfS</v>
      </c>
      <c r="G320" s="3" t="str">
        <f>IFERROR(__xludf.DUMMYFUNCTION("""COMPUTED_VALUE"""),"Google Ads")</f>
        <v>Google Ads</v>
      </c>
      <c r="H320" s="3">
        <f>IFERROR(__xludf.DUMMYFUNCTION("""COMPUTED_VALUE"""),2.0221113E7)</f>
        <v>20221113</v>
      </c>
      <c r="I320" s="3" t="str">
        <f>IFERROR(__xludf.DUMMYFUNCTION("""COMPUTED_VALUE"""),"visitJaisalmer")</f>
        <v>visitJaisalmer</v>
      </c>
      <c r="J320" s="3">
        <f>IFERROR(__xludf.DUMMYFUNCTION("""COMPUTED_VALUE"""),3455.0)</f>
        <v>3455</v>
      </c>
      <c r="K320" s="3" t="str">
        <f t="shared" ref="K320:L320" si="324">TRIM(F320)</f>
        <v>VfS</v>
      </c>
      <c r="L320" s="3" t="str">
        <f t="shared" si="324"/>
        <v>Google Ads</v>
      </c>
      <c r="M320" s="3" t="str">
        <f t="shared" si="3"/>
        <v>Google Ads</v>
      </c>
      <c r="N320" s="3" t="str">
        <f>IFERROR(__xludf.DUMMYFUNCTION("SPLIT(M320,""&amp;"")"),"Google Ads")</f>
        <v>Google Ads</v>
      </c>
      <c r="O320" s="3" t="str">
        <f t="shared" si="4"/>
        <v>Google Ads</v>
      </c>
      <c r="P320" s="3" t="str">
        <f t="shared" si="5"/>
        <v>visitJaisalmer</v>
      </c>
      <c r="Q320" s="3" t="str">
        <f t="shared" si="6"/>
        <v>Visitjaisalmer</v>
      </c>
      <c r="R320" s="3">
        <f t="shared" si="7"/>
        <v>3455</v>
      </c>
    </row>
    <row r="321">
      <c r="A321" s="7" t="s">
        <v>146</v>
      </c>
      <c r="B321" s="8" t="s">
        <v>19</v>
      </c>
      <c r="C321" s="8">
        <v>88400.0</v>
      </c>
      <c r="E321" s="3" t="str">
        <f>IFERROR(__xludf.DUMMYFUNCTION("SPLIT(A321,""|"")")," VIN/TwiTter/20221116/visitbikaner/5666 ")</f>
        <v> VIN/TwiTter/20221116/visitbikaner/5666 </v>
      </c>
      <c r="F321" s="3" t="str">
        <f>IFERROR(__xludf.DUMMYFUNCTION("SPLIT(E321,""/"")")," VIN")</f>
        <v> VIN</v>
      </c>
      <c r="G321" s="3" t="str">
        <f>IFERROR(__xludf.DUMMYFUNCTION("""COMPUTED_VALUE"""),"TwiTter")</f>
        <v>TwiTter</v>
      </c>
      <c r="H321" s="3">
        <f>IFERROR(__xludf.DUMMYFUNCTION("""COMPUTED_VALUE"""),2.0221116E7)</f>
        <v>20221116</v>
      </c>
      <c r="I321" s="3" t="str">
        <f>IFERROR(__xludf.DUMMYFUNCTION("""COMPUTED_VALUE"""),"visitbikaner")</f>
        <v>visitbikaner</v>
      </c>
      <c r="J321" s="3">
        <f>IFERROR(__xludf.DUMMYFUNCTION("""COMPUTED_VALUE"""),5666.0)</f>
        <v>5666</v>
      </c>
      <c r="K321" s="3" t="str">
        <f t="shared" ref="K321:L321" si="325">TRIM(F321)</f>
        <v>VIN</v>
      </c>
      <c r="L321" s="3" t="str">
        <f t="shared" si="325"/>
        <v>TwiTter</v>
      </c>
      <c r="M321" s="3" t="str">
        <f t="shared" si="3"/>
        <v>Twitter</v>
      </c>
      <c r="N321" s="3" t="str">
        <f>IFERROR(__xludf.DUMMYFUNCTION("SPLIT(M321,""&amp;"")"),"Twitter")</f>
        <v>Twitter</v>
      </c>
      <c r="O321" s="3" t="str">
        <f t="shared" si="4"/>
        <v>Twitter</v>
      </c>
      <c r="P321" s="3" t="str">
        <f t="shared" si="5"/>
        <v>visitbikaner</v>
      </c>
      <c r="Q321" s="3" t="str">
        <f t="shared" si="6"/>
        <v>Visitbikaner</v>
      </c>
      <c r="R321" s="3">
        <f t="shared" si="7"/>
        <v>5666</v>
      </c>
    </row>
    <row r="322">
      <c r="A322" s="7" t="s">
        <v>147</v>
      </c>
      <c r="B322" s="8" t="s">
        <v>19</v>
      </c>
      <c r="C322" s="8">
        <v>36900.0</v>
      </c>
      <c r="E322" s="3" t="str">
        <f>IFERROR(__xludf.DUMMYFUNCTION("SPLIT(A322,""|"")")," NEFT/Facebook/20221119/Visitjaipur/5676 ")</f>
        <v> NEFT/Facebook/20221119/Visitjaipur/5676 </v>
      </c>
      <c r="F322" s="3" t="str">
        <f>IFERROR(__xludf.DUMMYFUNCTION("SPLIT(E322,""/"")")," NEFT")</f>
        <v> NEFT</v>
      </c>
      <c r="G322" s="3" t="str">
        <f>IFERROR(__xludf.DUMMYFUNCTION("""COMPUTED_VALUE"""),"Facebook")</f>
        <v>Facebook</v>
      </c>
      <c r="H322" s="3">
        <f>IFERROR(__xludf.DUMMYFUNCTION("""COMPUTED_VALUE"""),2.0221119E7)</f>
        <v>20221119</v>
      </c>
      <c r="I322" s="3" t="str">
        <f>IFERROR(__xludf.DUMMYFUNCTION("""COMPUTED_VALUE"""),"Visitjaipur")</f>
        <v>Visitjaipur</v>
      </c>
      <c r="J322" s="3">
        <f>IFERROR(__xludf.DUMMYFUNCTION("""COMPUTED_VALUE"""),5676.0)</f>
        <v>5676</v>
      </c>
      <c r="K322" s="3" t="str">
        <f t="shared" ref="K322:L322" si="326">TRIM(F322)</f>
        <v>NEFT</v>
      </c>
      <c r="L322" s="3" t="str">
        <f t="shared" si="326"/>
        <v>Facebook</v>
      </c>
      <c r="M322" s="3" t="str">
        <f t="shared" si="3"/>
        <v>Facebook</v>
      </c>
      <c r="N322" s="3" t="str">
        <f>IFERROR(__xludf.DUMMYFUNCTION("SPLIT(M322,""&amp;"")"),"Facebook")</f>
        <v>Facebook</v>
      </c>
      <c r="O322" s="3" t="str">
        <f t="shared" si="4"/>
        <v>Facebook</v>
      </c>
      <c r="P322" s="3" t="str">
        <f t="shared" si="5"/>
        <v>Visitjaipur</v>
      </c>
      <c r="Q322" s="3" t="str">
        <f t="shared" si="6"/>
        <v>Visitjaipur</v>
      </c>
      <c r="R322" s="3">
        <f t="shared" si="7"/>
        <v>5676</v>
      </c>
    </row>
    <row r="323">
      <c r="A323" s="7" t="s">
        <v>148</v>
      </c>
      <c r="B323" s="8" t="s">
        <v>19</v>
      </c>
      <c r="C323" s="8">
        <v>80500.0</v>
      </c>
      <c r="E323" s="3" t="str">
        <f>IFERROR(__xludf.DUMMYFUNCTION("SPLIT(A323,""|"")")," CHQ/YouTube &amp;/20221122/Visitrajasthan/4564 ")</f>
        <v> CHQ/YouTube &amp;/20221122/Visitrajasthan/4564 </v>
      </c>
      <c r="F323" s="3" t="str">
        <f>IFERROR(__xludf.DUMMYFUNCTION("SPLIT(E323,""/"")")," CHQ")</f>
        <v> CHQ</v>
      </c>
      <c r="G323" s="3" t="str">
        <f>IFERROR(__xludf.DUMMYFUNCTION("""COMPUTED_VALUE"""),"YouTube &amp;")</f>
        <v>YouTube &amp;</v>
      </c>
      <c r="H323" s="3">
        <f>IFERROR(__xludf.DUMMYFUNCTION("""COMPUTED_VALUE"""),2.0221122E7)</f>
        <v>20221122</v>
      </c>
      <c r="I323" s="3" t="str">
        <f>IFERROR(__xludf.DUMMYFUNCTION("""COMPUTED_VALUE"""),"Visitrajasthan")</f>
        <v>Visitrajasthan</v>
      </c>
      <c r="J323" s="3">
        <f>IFERROR(__xludf.DUMMYFUNCTION("""COMPUTED_VALUE"""),4564.0)</f>
        <v>4564</v>
      </c>
      <c r="K323" s="3" t="str">
        <f t="shared" ref="K323:L323" si="327">TRIM(F323)</f>
        <v>CHQ</v>
      </c>
      <c r="L323" s="3" t="str">
        <f t="shared" si="327"/>
        <v>YouTube &amp;</v>
      </c>
      <c r="M323" s="3" t="str">
        <f t="shared" si="3"/>
        <v>Youtube &amp;</v>
      </c>
      <c r="N323" s="3" t="str">
        <f>IFERROR(__xludf.DUMMYFUNCTION("SPLIT(M323,""&amp;"")"),"Youtube ")</f>
        <v>Youtube </v>
      </c>
      <c r="O323" s="3" t="str">
        <f t="shared" si="4"/>
        <v>Youtube</v>
      </c>
      <c r="P323" s="3" t="str">
        <f t="shared" si="5"/>
        <v>Visitrajasthan</v>
      </c>
      <c r="Q323" s="3" t="str">
        <f t="shared" si="6"/>
        <v>Visitrajasthan</v>
      </c>
      <c r="R323" s="3">
        <f t="shared" si="7"/>
        <v>4564</v>
      </c>
    </row>
    <row r="324">
      <c r="A324" s="7" t="s">
        <v>149</v>
      </c>
      <c r="B324" s="8" t="s">
        <v>19</v>
      </c>
      <c r="C324" s="8">
        <v>58200.0</v>
      </c>
      <c r="E324" s="3" t="str">
        <f>IFERROR(__xludf.DUMMYFUNCTION("SPLIT(A324,""|"")")," VfS/Instagram/20221125/visitudaipur/4565 ")</f>
        <v> VfS/Instagram/20221125/visitudaipur/4565 </v>
      </c>
      <c r="F324" s="3" t="str">
        <f>IFERROR(__xludf.DUMMYFUNCTION("SPLIT(E324,""/"")")," VfS")</f>
        <v> VfS</v>
      </c>
      <c r="G324" s="3" t="str">
        <f>IFERROR(__xludf.DUMMYFUNCTION("""COMPUTED_VALUE"""),"Instagram")</f>
        <v>Instagram</v>
      </c>
      <c r="H324" s="3">
        <f>IFERROR(__xludf.DUMMYFUNCTION("""COMPUTED_VALUE"""),2.0221125E7)</f>
        <v>20221125</v>
      </c>
      <c r="I324" s="3" t="str">
        <f>IFERROR(__xludf.DUMMYFUNCTION("""COMPUTED_VALUE"""),"visitudaipur")</f>
        <v>visitudaipur</v>
      </c>
      <c r="J324" s="3">
        <f>IFERROR(__xludf.DUMMYFUNCTION("""COMPUTED_VALUE"""),4565.0)</f>
        <v>4565</v>
      </c>
      <c r="K324" s="3" t="str">
        <f t="shared" ref="K324:L324" si="328">TRIM(F324)</f>
        <v>VfS</v>
      </c>
      <c r="L324" s="3" t="str">
        <f t="shared" si="328"/>
        <v>Instagram</v>
      </c>
      <c r="M324" s="3" t="str">
        <f t="shared" si="3"/>
        <v>Instagram</v>
      </c>
      <c r="N324" s="3" t="str">
        <f>IFERROR(__xludf.DUMMYFUNCTION("SPLIT(M324,""&amp;"")"),"Instagram")</f>
        <v>Instagram</v>
      </c>
      <c r="O324" s="3" t="str">
        <f t="shared" si="4"/>
        <v>Instagram</v>
      </c>
      <c r="P324" s="3" t="str">
        <f t="shared" si="5"/>
        <v>visitudaipur</v>
      </c>
      <c r="Q324" s="3" t="str">
        <f t="shared" si="6"/>
        <v>Visitudaipur</v>
      </c>
      <c r="R324" s="3">
        <f t="shared" si="7"/>
        <v>4565</v>
      </c>
    </row>
    <row r="325">
      <c r="A325" s="7" t="s">
        <v>150</v>
      </c>
      <c r="B325" s="8" t="s">
        <v>19</v>
      </c>
      <c r="C325" s="8">
        <v>28800.0</v>
      </c>
      <c r="E325" s="3" t="str">
        <f>IFERROR(__xludf.DUMMYFUNCTION("SPLIT(A325,""|"")")," VIN/OfflINe &amp;/20221128/Visitjodhpur/4566 ")</f>
        <v> VIN/OfflINe &amp;/20221128/Visitjodhpur/4566 </v>
      </c>
      <c r="F325" s="3" t="str">
        <f>IFERROR(__xludf.DUMMYFUNCTION("SPLIT(E325,""/"")")," VIN")</f>
        <v> VIN</v>
      </c>
      <c r="G325" s="3" t="str">
        <f>IFERROR(__xludf.DUMMYFUNCTION("""COMPUTED_VALUE"""),"OfflINe &amp;")</f>
        <v>OfflINe &amp;</v>
      </c>
      <c r="H325" s="3">
        <f>IFERROR(__xludf.DUMMYFUNCTION("""COMPUTED_VALUE"""),2.0221128E7)</f>
        <v>20221128</v>
      </c>
      <c r="I325" s="3" t="str">
        <f>IFERROR(__xludf.DUMMYFUNCTION("""COMPUTED_VALUE"""),"Visitjodhpur")</f>
        <v>Visitjodhpur</v>
      </c>
      <c r="J325" s="3">
        <f>IFERROR(__xludf.DUMMYFUNCTION("""COMPUTED_VALUE"""),4566.0)</f>
        <v>4566</v>
      </c>
      <c r="K325" s="3" t="str">
        <f t="shared" ref="K325:L325" si="329">TRIM(F325)</f>
        <v>VIN</v>
      </c>
      <c r="L325" s="3" t="str">
        <f t="shared" si="329"/>
        <v>OfflINe &amp;</v>
      </c>
      <c r="M325" s="3" t="str">
        <f t="shared" si="3"/>
        <v>Offline &amp;</v>
      </c>
      <c r="N325" s="3" t="str">
        <f>IFERROR(__xludf.DUMMYFUNCTION("SPLIT(M325,""&amp;"")"),"Offline ")</f>
        <v>Offline </v>
      </c>
      <c r="O325" s="3" t="str">
        <f t="shared" si="4"/>
        <v>Offline</v>
      </c>
      <c r="P325" s="3" t="str">
        <f t="shared" si="5"/>
        <v>Visitjodhpur</v>
      </c>
      <c r="Q325" s="3" t="str">
        <f t="shared" si="6"/>
        <v>Visitjodhpur</v>
      </c>
      <c r="R325" s="3">
        <f t="shared" si="7"/>
        <v>4566</v>
      </c>
    </row>
    <row r="326">
      <c r="A326" s="7" t="s">
        <v>121</v>
      </c>
      <c r="B326" s="8" t="s">
        <v>20</v>
      </c>
      <c r="C326" s="8">
        <v>52800.0</v>
      </c>
      <c r="E326" s="3" t="str">
        <f>IFERROR(__xludf.DUMMYFUNCTION("SPLIT(A326,""|"")")," CHQ/Facebook/20221201/Visitjaipur/5676 ")</f>
        <v> CHQ/Facebook/20221201/Visitjaipur/5676 </v>
      </c>
      <c r="F326" s="3" t="str">
        <f>IFERROR(__xludf.DUMMYFUNCTION("SPLIT(E326,""/"")")," CHQ")</f>
        <v> CHQ</v>
      </c>
      <c r="G326" s="3" t="str">
        <f>IFERROR(__xludf.DUMMYFUNCTION("""COMPUTED_VALUE"""),"Facebook")</f>
        <v>Facebook</v>
      </c>
      <c r="H326" s="3">
        <f>IFERROR(__xludf.DUMMYFUNCTION("""COMPUTED_VALUE"""),2.0221201E7)</f>
        <v>20221201</v>
      </c>
      <c r="I326" s="3" t="str">
        <f>IFERROR(__xludf.DUMMYFUNCTION("""COMPUTED_VALUE"""),"Visitjaipur")</f>
        <v>Visitjaipur</v>
      </c>
      <c r="J326" s="3">
        <f>IFERROR(__xludf.DUMMYFUNCTION("""COMPUTED_VALUE"""),5676.0)</f>
        <v>5676</v>
      </c>
      <c r="K326" s="3" t="str">
        <f t="shared" ref="K326:L326" si="330">TRIM(F326)</f>
        <v>CHQ</v>
      </c>
      <c r="L326" s="3" t="str">
        <f t="shared" si="330"/>
        <v>Facebook</v>
      </c>
      <c r="M326" s="3" t="str">
        <f t="shared" si="3"/>
        <v>Facebook</v>
      </c>
      <c r="N326" s="3" t="str">
        <f>IFERROR(__xludf.DUMMYFUNCTION("SPLIT(M326,""&amp;"")"),"Facebook")</f>
        <v>Facebook</v>
      </c>
      <c r="O326" s="3" t="str">
        <f t="shared" si="4"/>
        <v>Facebook</v>
      </c>
      <c r="P326" s="3" t="str">
        <f t="shared" si="5"/>
        <v>Visitjaipur</v>
      </c>
      <c r="Q326" s="3" t="str">
        <f t="shared" si="6"/>
        <v>Visitjaipur</v>
      </c>
      <c r="R326" s="3">
        <f t="shared" si="7"/>
        <v>5676</v>
      </c>
    </row>
    <row r="327">
      <c r="A327" s="7" t="s">
        <v>122</v>
      </c>
      <c r="B327" s="8" t="s">
        <v>20</v>
      </c>
      <c r="C327" s="8">
        <v>67500.0</v>
      </c>
      <c r="E327" s="3" t="str">
        <f>IFERROR(__xludf.DUMMYFUNCTION("SPLIT(A327,""|"")")," VfS/YouTube/20221204/Visitrajasthan/4564 ")</f>
        <v> VfS/YouTube/20221204/Visitrajasthan/4564 </v>
      </c>
      <c r="F327" s="3" t="str">
        <f>IFERROR(__xludf.DUMMYFUNCTION("SPLIT(E327,""/"")")," VfS")</f>
        <v> VfS</v>
      </c>
      <c r="G327" s="3" t="str">
        <f>IFERROR(__xludf.DUMMYFUNCTION("""COMPUTED_VALUE"""),"YouTube")</f>
        <v>YouTube</v>
      </c>
      <c r="H327" s="3">
        <f>IFERROR(__xludf.DUMMYFUNCTION("""COMPUTED_VALUE"""),2.0221204E7)</f>
        <v>20221204</v>
      </c>
      <c r="I327" s="3" t="str">
        <f>IFERROR(__xludf.DUMMYFUNCTION("""COMPUTED_VALUE"""),"Visitrajasthan")</f>
        <v>Visitrajasthan</v>
      </c>
      <c r="J327" s="3">
        <f>IFERROR(__xludf.DUMMYFUNCTION("""COMPUTED_VALUE"""),4564.0)</f>
        <v>4564</v>
      </c>
      <c r="K327" s="3" t="str">
        <f t="shared" ref="K327:L327" si="331">TRIM(F327)</f>
        <v>VfS</v>
      </c>
      <c r="L327" s="3" t="str">
        <f t="shared" si="331"/>
        <v>YouTube</v>
      </c>
      <c r="M327" s="3" t="str">
        <f t="shared" si="3"/>
        <v>Youtube</v>
      </c>
      <c r="N327" s="3" t="str">
        <f>IFERROR(__xludf.DUMMYFUNCTION("SPLIT(M327,""&amp;"")"),"Youtube")</f>
        <v>Youtube</v>
      </c>
      <c r="O327" s="3" t="str">
        <f t="shared" si="4"/>
        <v>Youtube</v>
      </c>
      <c r="P327" s="3" t="str">
        <f t="shared" si="5"/>
        <v>Visitrajasthan</v>
      </c>
      <c r="Q327" s="3" t="str">
        <f t="shared" si="6"/>
        <v>Visitrajasthan</v>
      </c>
      <c r="R327" s="3">
        <f t="shared" si="7"/>
        <v>4564</v>
      </c>
    </row>
    <row r="328">
      <c r="A328" s="7" t="s">
        <v>123</v>
      </c>
      <c r="B328" s="8" t="s">
        <v>20</v>
      </c>
      <c r="C328" s="8">
        <v>14600.0</v>
      </c>
      <c r="E328" s="3" t="str">
        <f>IFERROR(__xludf.DUMMYFUNCTION("SPLIT(A328,""|"")")," NEFT/Instagram/20221207/visitudaipur/4565 ")</f>
        <v> NEFT/Instagram/20221207/visitudaipur/4565 </v>
      </c>
      <c r="F328" s="3" t="str">
        <f>IFERROR(__xludf.DUMMYFUNCTION("SPLIT(E328,""/"")")," NEFT")</f>
        <v> NEFT</v>
      </c>
      <c r="G328" s="3" t="str">
        <f>IFERROR(__xludf.DUMMYFUNCTION("""COMPUTED_VALUE"""),"Instagram")</f>
        <v>Instagram</v>
      </c>
      <c r="H328" s="3">
        <f>IFERROR(__xludf.DUMMYFUNCTION("""COMPUTED_VALUE"""),2.0221207E7)</f>
        <v>20221207</v>
      </c>
      <c r="I328" s="3" t="str">
        <f>IFERROR(__xludf.DUMMYFUNCTION("""COMPUTED_VALUE"""),"visitudaipur")</f>
        <v>visitudaipur</v>
      </c>
      <c r="J328" s="3">
        <f>IFERROR(__xludf.DUMMYFUNCTION("""COMPUTED_VALUE"""),4565.0)</f>
        <v>4565</v>
      </c>
      <c r="K328" s="3" t="str">
        <f t="shared" ref="K328:L328" si="332">TRIM(F328)</f>
        <v>NEFT</v>
      </c>
      <c r="L328" s="3" t="str">
        <f t="shared" si="332"/>
        <v>Instagram</v>
      </c>
      <c r="M328" s="3" t="str">
        <f t="shared" si="3"/>
        <v>Instagram</v>
      </c>
      <c r="N328" s="3" t="str">
        <f>IFERROR(__xludf.DUMMYFUNCTION("SPLIT(M328,""&amp;"")"),"Instagram")</f>
        <v>Instagram</v>
      </c>
      <c r="O328" s="3" t="str">
        <f t="shared" si="4"/>
        <v>Instagram</v>
      </c>
      <c r="P328" s="3" t="str">
        <f t="shared" si="5"/>
        <v>visitudaipur</v>
      </c>
      <c r="Q328" s="3" t="str">
        <f t="shared" si="6"/>
        <v>Visitudaipur</v>
      </c>
      <c r="R328" s="3">
        <f t="shared" si="7"/>
        <v>4565</v>
      </c>
    </row>
    <row r="329">
      <c r="A329" s="7" t="s">
        <v>124</v>
      </c>
      <c r="B329" s="8" t="s">
        <v>20</v>
      </c>
      <c r="C329" s="8">
        <v>49000.0</v>
      </c>
      <c r="E329" s="3" t="str">
        <f>IFERROR(__xludf.DUMMYFUNCTION("SPLIT(A329,""|"")")," CHQ/Offline &amp;/20221210/Visitjodhpur/4566 ")</f>
        <v> CHQ/Offline &amp;/20221210/Visitjodhpur/4566 </v>
      </c>
      <c r="F329" s="3" t="str">
        <f>IFERROR(__xludf.DUMMYFUNCTION("SPLIT(E329,""/"")")," CHQ")</f>
        <v> CHQ</v>
      </c>
      <c r="G329" s="3" t="str">
        <f>IFERROR(__xludf.DUMMYFUNCTION("""COMPUTED_VALUE"""),"Offline &amp;")</f>
        <v>Offline &amp;</v>
      </c>
      <c r="H329" s="3">
        <f>IFERROR(__xludf.DUMMYFUNCTION("""COMPUTED_VALUE"""),2.022121E7)</f>
        <v>20221210</v>
      </c>
      <c r="I329" s="3" t="str">
        <f>IFERROR(__xludf.DUMMYFUNCTION("""COMPUTED_VALUE"""),"Visitjodhpur")</f>
        <v>Visitjodhpur</v>
      </c>
      <c r="J329" s="3">
        <f>IFERROR(__xludf.DUMMYFUNCTION("""COMPUTED_VALUE"""),4566.0)</f>
        <v>4566</v>
      </c>
      <c r="K329" s="3" t="str">
        <f t="shared" ref="K329:L329" si="333">TRIM(F329)</f>
        <v>CHQ</v>
      </c>
      <c r="L329" s="3" t="str">
        <f t="shared" si="333"/>
        <v>Offline &amp;</v>
      </c>
      <c r="M329" s="3" t="str">
        <f t="shared" si="3"/>
        <v>Offline &amp;</v>
      </c>
      <c r="N329" s="3" t="str">
        <f>IFERROR(__xludf.DUMMYFUNCTION("SPLIT(M329,""&amp;"")"),"Offline ")</f>
        <v>Offline </v>
      </c>
      <c r="O329" s="3" t="str">
        <f t="shared" si="4"/>
        <v>Offline</v>
      </c>
      <c r="P329" s="3" t="str">
        <f t="shared" si="5"/>
        <v>Visitjodhpur</v>
      </c>
      <c r="Q329" s="3" t="str">
        <f t="shared" si="6"/>
        <v>Visitjodhpur</v>
      </c>
      <c r="R329" s="3">
        <f t="shared" si="7"/>
        <v>4566</v>
      </c>
    </row>
    <row r="330">
      <c r="A330" s="7" t="s">
        <v>125</v>
      </c>
      <c r="B330" s="8" t="s">
        <v>20</v>
      </c>
      <c r="C330" s="8">
        <v>69500.0</v>
      </c>
      <c r="E330" s="3" t="str">
        <f>IFERROR(__xludf.DUMMYFUNCTION("SPLIT(A330,""|"")")," VfS/Google Ads/20221213/visitJaisalmer/3455 ")</f>
        <v> VfS/Google Ads/20221213/visitJaisalmer/3455 </v>
      </c>
      <c r="F330" s="3" t="str">
        <f>IFERROR(__xludf.DUMMYFUNCTION("SPLIT(E330,""/"")")," VfS")</f>
        <v> VfS</v>
      </c>
      <c r="G330" s="3" t="str">
        <f>IFERROR(__xludf.DUMMYFUNCTION("""COMPUTED_VALUE"""),"Google Ads")</f>
        <v>Google Ads</v>
      </c>
      <c r="H330" s="3">
        <f>IFERROR(__xludf.DUMMYFUNCTION("""COMPUTED_VALUE"""),2.0221213E7)</f>
        <v>20221213</v>
      </c>
      <c r="I330" s="3" t="str">
        <f>IFERROR(__xludf.DUMMYFUNCTION("""COMPUTED_VALUE"""),"visitJaisalmer")</f>
        <v>visitJaisalmer</v>
      </c>
      <c r="J330" s="3">
        <f>IFERROR(__xludf.DUMMYFUNCTION("""COMPUTED_VALUE"""),3455.0)</f>
        <v>3455</v>
      </c>
      <c r="K330" s="3" t="str">
        <f t="shared" ref="K330:L330" si="334">TRIM(F330)</f>
        <v>VfS</v>
      </c>
      <c r="L330" s="3" t="str">
        <f t="shared" si="334"/>
        <v>Google Ads</v>
      </c>
      <c r="M330" s="3" t="str">
        <f t="shared" si="3"/>
        <v>Google Ads</v>
      </c>
      <c r="N330" s="3" t="str">
        <f>IFERROR(__xludf.DUMMYFUNCTION("SPLIT(M330,""&amp;"")"),"Google Ads")</f>
        <v>Google Ads</v>
      </c>
      <c r="O330" s="3" t="str">
        <f t="shared" si="4"/>
        <v>Google Ads</v>
      </c>
      <c r="P330" s="3" t="str">
        <f t="shared" si="5"/>
        <v>visitJaisalmer</v>
      </c>
      <c r="Q330" s="3" t="str">
        <f t="shared" si="6"/>
        <v>Visitjaisalmer</v>
      </c>
      <c r="R330" s="3">
        <f t="shared" si="7"/>
        <v>3455</v>
      </c>
    </row>
    <row r="331">
      <c r="A331" s="7" t="s">
        <v>126</v>
      </c>
      <c r="B331" s="8" t="s">
        <v>20</v>
      </c>
      <c r="C331" s="8">
        <v>24500.0</v>
      </c>
      <c r="E331" s="3" t="str">
        <f>IFERROR(__xludf.DUMMYFUNCTION("SPLIT(A331,""|"")")," VIN/TwiTter/20221216/visitbikaner/5666 ")</f>
        <v> VIN/TwiTter/20221216/visitbikaner/5666 </v>
      </c>
      <c r="F331" s="3" t="str">
        <f>IFERROR(__xludf.DUMMYFUNCTION("SPLIT(E331,""/"")")," VIN")</f>
        <v> VIN</v>
      </c>
      <c r="G331" s="3" t="str">
        <f>IFERROR(__xludf.DUMMYFUNCTION("""COMPUTED_VALUE"""),"TwiTter")</f>
        <v>TwiTter</v>
      </c>
      <c r="H331" s="3">
        <f>IFERROR(__xludf.DUMMYFUNCTION("""COMPUTED_VALUE"""),2.0221216E7)</f>
        <v>20221216</v>
      </c>
      <c r="I331" s="3" t="str">
        <f>IFERROR(__xludf.DUMMYFUNCTION("""COMPUTED_VALUE"""),"visitbikaner")</f>
        <v>visitbikaner</v>
      </c>
      <c r="J331" s="3">
        <f>IFERROR(__xludf.DUMMYFUNCTION("""COMPUTED_VALUE"""),5666.0)</f>
        <v>5666</v>
      </c>
      <c r="K331" s="3" t="str">
        <f t="shared" ref="K331:L331" si="335">TRIM(F331)</f>
        <v>VIN</v>
      </c>
      <c r="L331" s="3" t="str">
        <f t="shared" si="335"/>
        <v>TwiTter</v>
      </c>
      <c r="M331" s="3" t="str">
        <f t="shared" si="3"/>
        <v>Twitter</v>
      </c>
      <c r="N331" s="3" t="str">
        <f>IFERROR(__xludf.DUMMYFUNCTION("SPLIT(M331,""&amp;"")"),"Twitter")</f>
        <v>Twitter</v>
      </c>
      <c r="O331" s="3" t="str">
        <f t="shared" si="4"/>
        <v>Twitter</v>
      </c>
      <c r="P331" s="3" t="str">
        <f t="shared" si="5"/>
        <v>visitbikaner</v>
      </c>
      <c r="Q331" s="3" t="str">
        <f t="shared" si="6"/>
        <v>Visitbikaner</v>
      </c>
      <c r="R331" s="3">
        <f t="shared" si="7"/>
        <v>5666</v>
      </c>
    </row>
    <row r="332">
      <c r="A332" s="7" t="s">
        <v>127</v>
      </c>
      <c r="B332" s="8" t="s">
        <v>20</v>
      </c>
      <c r="C332" s="8">
        <v>23400.0</v>
      </c>
      <c r="E332" s="3" t="str">
        <f>IFERROR(__xludf.DUMMYFUNCTION("SPLIT(A332,""|"")")," NEFT/Facebook/20221219/Visitjaipur/5676 ")</f>
        <v> NEFT/Facebook/20221219/Visitjaipur/5676 </v>
      </c>
      <c r="F332" s="3" t="str">
        <f>IFERROR(__xludf.DUMMYFUNCTION("SPLIT(E332,""/"")")," NEFT")</f>
        <v> NEFT</v>
      </c>
      <c r="G332" s="3" t="str">
        <f>IFERROR(__xludf.DUMMYFUNCTION("""COMPUTED_VALUE"""),"Facebook")</f>
        <v>Facebook</v>
      </c>
      <c r="H332" s="3">
        <f>IFERROR(__xludf.DUMMYFUNCTION("""COMPUTED_VALUE"""),2.0221219E7)</f>
        <v>20221219</v>
      </c>
      <c r="I332" s="3" t="str">
        <f>IFERROR(__xludf.DUMMYFUNCTION("""COMPUTED_VALUE"""),"Visitjaipur")</f>
        <v>Visitjaipur</v>
      </c>
      <c r="J332" s="3">
        <f>IFERROR(__xludf.DUMMYFUNCTION("""COMPUTED_VALUE"""),5676.0)</f>
        <v>5676</v>
      </c>
      <c r="K332" s="3" t="str">
        <f t="shared" ref="K332:L332" si="336">TRIM(F332)</f>
        <v>NEFT</v>
      </c>
      <c r="L332" s="3" t="str">
        <f t="shared" si="336"/>
        <v>Facebook</v>
      </c>
      <c r="M332" s="3" t="str">
        <f t="shared" si="3"/>
        <v>Facebook</v>
      </c>
      <c r="N332" s="3" t="str">
        <f>IFERROR(__xludf.DUMMYFUNCTION("SPLIT(M332,""&amp;"")"),"Facebook")</f>
        <v>Facebook</v>
      </c>
      <c r="O332" s="3" t="str">
        <f t="shared" si="4"/>
        <v>Facebook</v>
      </c>
      <c r="P332" s="3" t="str">
        <f t="shared" si="5"/>
        <v>Visitjaipur</v>
      </c>
      <c r="Q332" s="3" t="str">
        <f t="shared" si="6"/>
        <v>Visitjaipur</v>
      </c>
      <c r="R332" s="3">
        <f t="shared" si="7"/>
        <v>5676</v>
      </c>
    </row>
    <row r="333">
      <c r="A333" s="7" t="s">
        <v>128</v>
      </c>
      <c r="B333" s="8" t="s">
        <v>20</v>
      </c>
      <c r="C333" s="8">
        <v>97400.0</v>
      </c>
      <c r="E333" s="3" t="str">
        <f>IFERROR(__xludf.DUMMYFUNCTION("SPLIT(A333,""|"")")," CHQ/YouTube &amp;/20221222/Visitrajasthan/4564 ")</f>
        <v> CHQ/YouTube &amp;/20221222/Visitrajasthan/4564 </v>
      </c>
      <c r="F333" s="3" t="str">
        <f>IFERROR(__xludf.DUMMYFUNCTION("SPLIT(E333,""/"")")," CHQ")</f>
        <v> CHQ</v>
      </c>
      <c r="G333" s="3" t="str">
        <f>IFERROR(__xludf.DUMMYFUNCTION("""COMPUTED_VALUE"""),"YouTube &amp;")</f>
        <v>YouTube &amp;</v>
      </c>
      <c r="H333" s="3">
        <f>IFERROR(__xludf.DUMMYFUNCTION("""COMPUTED_VALUE"""),2.0221222E7)</f>
        <v>20221222</v>
      </c>
      <c r="I333" s="3" t="str">
        <f>IFERROR(__xludf.DUMMYFUNCTION("""COMPUTED_VALUE"""),"Visitrajasthan")</f>
        <v>Visitrajasthan</v>
      </c>
      <c r="J333" s="3">
        <f>IFERROR(__xludf.DUMMYFUNCTION("""COMPUTED_VALUE"""),4564.0)</f>
        <v>4564</v>
      </c>
      <c r="K333" s="3" t="str">
        <f t="shared" ref="K333:L333" si="337">TRIM(F333)</f>
        <v>CHQ</v>
      </c>
      <c r="L333" s="3" t="str">
        <f t="shared" si="337"/>
        <v>YouTube &amp;</v>
      </c>
      <c r="M333" s="3" t="str">
        <f t="shared" si="3"/>
        <v>Youtube &amp;</v>
      </c>
      <c r="N333" s="3" t="str">
        <f>IFERROR(__xludf.DUMMYFUNCTION("SPLIT(M333,""&amp;"")"),"Youtube ")</f>
        <v>Youtube </v>
      </c>
      <c r="O333" s="3" t="str">
        <f t="shared" si="4"/>
        <v>Youtube</v>
      </c>
      <c r="P333" s="3" t="str">
        <f t="shared" si="5"/>
        <v>Visitrajasthan</v>
      </c>
      <c r="Q333" s="3" t="str">
        <f t="shared" si="6"/>
        <v>Visitrajasthan</v>
      </c>
      <c r="R333" s="3">
        <f t="shared" si="7"/>
        <v>4564</v>
      </c>
    </row>
    <row r="334">
      <c r="A334" s="7" t="s">
        <v>129</v>
      </c>
      <c r="B334" s="8" t="s">
        <v>20</v>
      </c>
      <c r="C334" s="8">
        <v>97000.0</v>
      </c>
      <c r="E334" s="3" t="str">
        <f>IFERROR(__xludf.DUMMYFUNCTION("SPLIT(A334,""|"")")," VfS/Instagram/20221225/visitudaipur/4565 ")</f>
        <v> VfS/Instagram/20221225/visitudaipur/4565 </v>
      </c>
      <c r="F334" s="3" t="str">
        <f>IFERROR(__xludf.DUMMYFUNCTION("SPLIT(E334,""/"")")," VfS")</f>
        <v> VfS</v>
      </c>
      <c r="G334" s="3" t="str">
        <f>IFERROR(__xludf.DUMMYFUNCTION("""COMPUTED_VALUE"""),"Instagram")</f>
        <v>Instagram</v>
      </c>
      <c r="H334" s="3">
        <f>IFERROR(__xludf.DUMMYFUNCTION("""COMPUTED_VALUE"""),2.0221225E7)</f>
        <v>20221225</v>
      </c>
      <c r="I334" s="3" t="str">
        <f>IFERROR(__xludf.DUMMYFUNCTION("""COMPUTED_VALUE"""),"visitudaipur")</f>
        <v>visitudaipur</v>
      </c>
      <c r="J334" s="3">
        <f>IFERROR(__xludf.DUMMYFUNCTION("""COMPUTED_VALUE"""),4565.0)</f>
        <v>4565</v>
      </c>
      <c r="K334" s="3" t="str">
        <f t="shared" ref="K334:L334" si="338">TRIM(F334)</f>
        <v>VfS</v>
      </c>
      <c r="L334" s="3" t="str">
        <f t="shared" si="338"/>
        <v>Instagram</v>
      </c>
      <c r="M334" s="3" t="str">
        <f t="shared" si="3"/>
        <v>Instagram</v>
      </c>
      <c r="N334" s="3" t="str">
        <f>IFERROR(__xludf.DUMMYFUNCTION("SPLIT(M334,""&amp;"")"),"Instagram")</f>
        <v>Instagram</v>
      </c>
      <c r="O334" s="3" t="str">
        <f t="shared" si="4"/>
        <v>Instagram</v>
      </c>
      <c r="P334" s="3" t="str">
        <f t="shared" si="5"/>
        <v>visitudaipur</v>
      </c>
      <c r="Q334" s="3" t="str">
        <f t="shared" si="6"/>
        <v>Visitudaipur</v>
      </c>
      <c r="R334" s="3">
        <f t="shared" si="7"/>
        <v>4565</v>
      </c>
    </row>
    <row r="335">
      <c r="A335" s="7" t="s">
        <v>130</v>
      </c>
      <c r="B335" s="8" t="s">
        <v>20</v>
      </c>
      <c r="C335" s="8">
        <v>20800.0</v>
      </c>
      <c r="E335" s="3" t="str">
        <f>IFERROR(__xludf.DUMMYFUNCTION("SPLIT(A335,""|"")")," VIN/OfflINe &amp;/20221228/Visitjodhpur/4566 ")</f>
        <v> VIN/OfflINe &amp;/20221228/Visitjodhpur/4566 </v>
      </c>
      <c r="F335" s="3" t="str">
        <f>IFERROR(__xludf.DUMMYFUNCTION("SPLIT(E335,""/"")")," VIN")</f>
        <v> VIN</v>
      </c>
      <c r="G335" s="3" t="str">
        <f>IFERROR(__xludf.DUMMYFUNCTION("""COMPUTED_VALUE"""),"OfflINe &amp;")</f>
        <v>OfflINe &amp;</v>
      </c>
      <c r="H335" s="3">
        <f>IFERROR(__xludf.DUMMYFUNCTION("""COMPUTED_VALUE"""),2.0221228E7)</f>
        <v>20221228</v>
      </c>
      <c r="I335" s="3" t="str">
        <f>IFERROR(__xludf.DUMMYFUNCTION("""COMPUTED_VALUE"""),"Visitjodhpur")</f>
        <v>Visitjodhpur</v>
      </c>
      <c r="J335" s="3">
        <f>IFERROR(__xludf.DUMMYFUNCTION("""COMPUTED_VALUE"""),4566.0)</f>
        <v>4566</v>
      </c>
      <c r="K335" s="3" t="str">
        <f t="shared" ref="K335:L335" si="339">TRIM(F335)</f>
        <v>VIN</v>
      </c>
      <c r="L335" s="3" t="str">
        <f t="shared" si="339"/>
        <v>OfflINe &amp;</v>
      </c>
      <c r="M335" s="3" t="str">
        <f t="shared" si="3"/>
        <v>Offline &amp;</v>
      </c>
      <c r="N335" s="3" t="str">
        <f>IFERROR(__xludf.DUMMYFUNCTION("SPLIT(M335,""&amp;"")"),"Offline ")</f>
        <v>Offline </v>
      </c>
      <c r="O335" s="3" t="str">
        <f t="shared" si="4"/>
        <v>Offline</v>
      </c>
      <c r="P335" s="3" t="str">
        <f t="shared" si="5"/>
        <v>Visitjodhpur</v>
      </c>
      <c r="Q335" s="3" t="str">
        <f t="shared" si="6"/>
        <v>Visitjodhpur</v>
      </c>
      <c r="R335" s="3">
        <f t="shared" si="7"/>
        <v>4566</v>
      </c>
    </row>
    <row r="336">
      <c r="A336" s="7" t="s">
        <v>131</v>
      </c>
      <c r="B336" s="8" t="s">
        <v>6</v>
      </c>
      <c r="C336" s="8">
        <v>55500.0</v>
      </c>
      <c r="E336" s="3" t="str">
        <f>IFERROR(__xludf.DUMMYFUNCTION("SPLIT(A336,""|"")")," CHQ/Facebook/20221001/Visitjaipur/5676 ")</f>
        <v> CHQ/Facebook/20221001/Visitjaipur/5676 </v>
      </c>
      <c r="F336" s="3" t="str">
        <f>IFERROR(__xludf.DUMMYFUNCTION("SPLIT(E336,""/"")")," CHQ")</f>
        <v> CHQ</v>
      </c>
      <c r="G336" s="3" t="str">
        <f>IFERROR(__xludf.DUMMYFUNCTION("""COMPUTED_VALUE"""),"Facebook")</f>
        <v>Facebook</v>
      </c>
      <c r="H336" s="3">
        <f>IFERROR(__xludf.DUMMYFUNCTION("""COMPUTED_VALUE"""),2.0221001E7)</f>
        <v>20221001</v>
      </c>
      <c r="I336" s="3" t="str">
        <f>IFERROR(__xludf.DUMMYFUNCTION("""COMPUTED_VALUE"""),"Visitjaipur")</f>
        <v>Visitjaipur</v>
      </c>
      <c r="J336" s="3">
        <f>IFERROR(__xludf.DUMMYFUNCTION("""COMPUTED_VALUE"""),5676.0)</f>
        <v>5676</v>
      </c>
      <c r="K336" s="3" t="str">
        <f t="shared" ref="K336:L336" si="340">TRIM(F336)</f>
        <v>CHQ</v>
      </c>
      <c r="L336" s="3" t="str">
        <f t="shared" si="340"/>
        <v>Facebook</v>
      </c>
      <c r="M336" s="3" t="str">
        <f t="shared" si="3"/>
        <v>Facebook</v>
      </c>
      <c r="N336" s="3" t="str">
        <f>IFERROR(__xludf.DUMMYFUNCTION("SPLIT(M336,""&amp;"")"),"Facebook")</f>
        <v>Facebook</v>
      </c>
      <c r="O336" s="3" t="str">
        <f t="shared" si="4"/>
        <v>Facebook</v>
      </c>
      <c r="P336" s="3" t="str">
        <f t="shared" si="5"/>
        <v>Visitjaipur</v>
      </c>
      <c r="Q336" s="3" t="str">
        <f t="shared" si="6"/>
        <v>Visitjaipur</v>
      </c>
      <c r="R336" s="3">
        <f t="shared" si="7"/>
        <v>5676</v>
      </c>
    </row>
    <row r="337">
      <c r="A337" s="7" t="s">
        <v>132</v>
      </c>
      <c r="B337" s="8" t="s">
        <v>6</v>
      </c>
      <c r="C337" s="8">
        <v>41100.0</v>
      </c>
      <c r="E337" s="3" t="str">
        <f>IFERROR(__xludf.DUMMYFUNCTION("SPLIT(A337,""|"")")," VfS/YouTube/20221004/Visitrajasthan/4564 ")</f>
        <v> VfS/YouTube/20221004/Visitrajasthan/4564 </v>
      </c>
      <c r="F337" s="3" t="str">
        <f>IFERROR(__xludf.DUMMYFUNCTION("SPLIT(E337,""/"")")," VfS")</f>
        <v> VfS</v>
      </c>
      <c r="G337" s="3" t="str">
        <f>IFERROR(__xludf.DUMMYFUNCTION("""COMPUTED_VALUE"""),"YouTube")</f>
        <v>YouTube</v>
      </c>
      <c r="H337" s="3">
        <f>IFERROR(__xludf.DUMMYFUNCTION("""COMPUTED_VALUE"""),2.0221004E7)</f>
        <v>20221004</v>
      </c>
      <c r="I337" s="3" t="str">
        <f>IFERROR(__xludf.DUMMYFUNCTION("""COMPUTED_VALUE"""),"Visitrajasthan")</f>
        <v>Visitrajasthan</v>
      </c>
      <c r="J337" s="3">
        <f>IFERROR(__xludf.DUMMYFUNCTION("""COMPUTED_VALUE"""),4564.0)</f>
        <v>4564</v>
      </c>
      <c r="K337" s="3" t="str">
        <f t="shared" ref="K337:L337" si="341">TRIM(F337)</f>
        <v>VfS</v>
      </c>
      <c r="L337" s="3" t="str">
        <f t="shared" si="341"/>
        <v>YouTube</v>
      </c>
      <c r="M337" s="3" t="str">
        <f t="shared" si="3"/>
        <v>Youtube</v>
      </c>
      <c r="N337" s="3" t="str">
        <f>IFERROR(__xludf.DUMMYFUNCTION("SPLIT(M337,""&amp;"")"),"Youtube")</f>
        <v>Youtube</v>
      </c>
      <c r="O337" s="3" t="str">
        <f t="shared" si="4"/>
        <v>Youtube</v>
      </c>
      <c r="P337" s="3" t="str">
        <f t="shared" si="5"/>
        <v>Visitrajasthan</v>
      </c>
      <c r="Q337" s="3" t="str">
        <f t="shared" si="6"/>
        <v>Visitrajasthan</v>
      </c>
      <c r="R337" s="3">
        <f t="shared" si="7"/>
        <v>4564</v>
      </c>
    </row>
    <row r="338">
      <c r="A338" s="7" t="s">
        <v>133</v>
      </c>
      <c r="B338" s="8" t="s">
        <v>6</v>
      </c>
      <c r="C338" s="8">
        <v>42100.0</v>
      </c>
      <c r="E338" s="3" t="str">
        <f>IFERROR(__xludf.DUMMYFUNCTION("SPLIT(A338,""|"")")," NEFT/Instagram/20221007/visitudaipur/4565 ")</f>
        <v> NEFT/Instagram/20221007/visitudaipur/4565 </v>
      </c>
      <c r="F338" s="3" t="str">
        <f>IFERROR(__xludf.DUMMYFUNCTION("SPLIT(E338,""/"")")," NEFT")</f>
        <v> NEFT</v>
      </c>
      <c r="G338" s="3" t="str">
        <f>IFERROR(__xludf.DUMMYFUNCTION("""COMPUTED_VALUE"""),"Instagram")</f>
        <v>Instagram</v>
      </c>
      <c r="H338" s="3">
        <f>IFERROR(__xludf.DUMMYFUNCTION("""COMPUTED_VALUE"""),2.0221007E7)</f>
        <v>20221007</v>
      </c>
      <c r="I338" s="3" t="str">
        <f>IFERROR(__xludf.DUMMYFUNCTION("""COMPUTED_VALUE"""),"visitudaipur")</f>
        <v>visitudaipur</v>
      </c>
      <c r="J338" s="3">
        <f>IFERROR(__xludf.DUMMYFUNCTION("""COMPUTED_VALUE"""),4565.0)</f>
        <v>4565</v>
      </c>
      <c r="K338" s="3" t="str">
        <f t="shared" ref="K338:L338" si="342">TRIM(F338)</f>
        <v>NEFT</v>
      </c>
      <c r="L338" s="3" t="str">
        <f t="shared" si="342"/>
        <v>Instagram</v>
      </c>
      <c r="M338" s="3" t="str">
        <f t="shared" si="3"/>
        <v>Instagram</v>
      </c>
      <c r="N338" s="3" t="str">
        <f>IFERROR(__xludf.DUMMYFUNCTION("SPLIT(M338,""&amp;"")"),"Instagram")</f>
        <v>Instagram</v>
      </c>
      <c r="O338" s="3" t="str">
        <f t="shared" si="4"/>
        <v>Instagram</v>
      </c>
      <c r="P338" s="3" t="str">
        <f t="shared" si="5"/>
        <v>visitudaipur</v>
      </c>
      <c r="Q338" s="3" t="str">
        <f t="shared" si="6"/>
        <v>Visitudaipur</v>
      </c>
      <c r="R338" s="3">
        <f t="shared" si="7"/>
        <v>4565</v>
      </c>
    </row>
    <row r="339">
      <c r="A339" s="7" t="s">
        <v>134</v>
      </c>
      <c r="B339" s="8" t="s">
        <v>6</v>
      </c>
      <c r="C339" s="8">
        <v>28300.0</v>
      </c>
      <c r="E339" s="3" t="str">
        <f>IFERROR(__xludf.DUMMYFUNCTION("SPLIT(A339,""|"")")," CHQ/Offline &amp;/20221010/Visitjodhpur/4566 ")</f>
        <v> CHQ/Offline &amp;/20221010/Visitjodhpur/4566 </v>
      </c>
      <c r="F339" s="3" t="str">
        <f>IFERROR(__xludf.DUMMYFUNCTION("SPLIT(E339,""/"")")," CHQ")</f>
        <v> CHQ</v>
      </c>
      <c r="G339" s="3" t="str">
        <f>IFERROR(__xludf.DUMMYFUNCTION("""COMPUTED_VALUE"""),"Offline &amp;")</f>
        <v>Offline &amp;</v>
      </c>
      <c r="H339" s="3">
        <f>IFERROR(__xludf.DUMMYFUNCTION("""COMPUTED_VALUE"""),2.022101E7)</f>
        <v>20221010</v>
      </c>
      <c r="I339" s="3" t="str">
        <f>IFERROR(__xludf.DUMMYFUNCTION("""COMPUTED_VALUE"""),"Visitjodhpur")</f>
        <v>Visitjodhpur</v>
      </c>
      <c r="J339" s="3">
        <f>IFERROR(__xludf.DUMMYFUNCTION("""COMPUTED_VALUE"""),4566.0)</f>
        <v>4566</v>
      </c>
      <c r="K339" s="3" t="str">
        <f t="shared" ref="K339:L339" si="343">TRIM(F339)</f>
        <v>CHQ</v>
      </c>
      <c r="L339" s="3" t="str">
        <f t="shared" si="343"/>
        <v>Offline &amp;</v>
      </c>
      <c r="M339" s="3" t="str">
        <f t="shared" si="3"/>
        <v>Offline &amp;</v>
      </c>
      <c r="N339" s="3" t="str">
        <f>IFERROR(__xludf.DUMMYFUNCTION("SPLIT(M339,""&amp;"")"),"Offline ")</f>
        <v>Offline </v>
      </c>
      <c r="O339" s="3" t="str">
        <f t="shared" si="4"/>
        <v>Offline</v>
      </c>
      <c r="P339" s="3" t="str">
        <f t="shared" si="5"/>
        <v>Visitjodhpur</v>
      </c>
      <c r="Q339" s="3" t="str">
        <f t="shared" si="6"/>
        <v>Visitjodhpur</v>
      </c>
      <c r="R339" s="3">
        <f t="shared" si="7"/>
        <v>4566</v>
      </c>
    </row>
    <row r="340">
      <c r="A340" s="7" t="s">
        <v>151</v>
      </c>
      <c r="B340" s="8" t="s">
        <v>6</v>
      </c>
      <c r="C340" s="8">
        <v>48800.0</v>
      </c>
      <c r="E340" s="3" t="str">
        <f>IFERROR(__xludf.DUMMYFUNCTION("SPLIT(A340,""|"")")," VfS/Google Ads/20221013/visitJaisalmer/3455 ")</f>
        <v> VfS/Google Ads/20221013/visitJaisalmer/3455 </v>
      </c>
      <c r="F340" s="3" t="str">
        <f>IFERROR(__xludf.DUMMYFUNCTION("SPLIT(E340,""/"")")," VfS")</f>
        <v> VfS</v>
      </c>
      <c r="G340" s="3" t="str">
        <f>IFERROR(__xludf.DUMMYFUNCTION("""COMPUTED_VALUE"""),"Google Ads")</f>
        <v>Google Ads</v>
      </c>
      <c r="H340" s="3">
        <f>IFERROR(__xludf.DUMMYFUNCTION("""COMPUTED_VALUE"""),2.0221013E7)</f>
        <v>20221013</v>
      </c>
      <c r="I340" s="3" t="str">
        <f>IFERROR(__xludf.DUMMYFUNCTION("""COMPUTED_VALUE"""),"visitJaisalmer")</f>
        <v>visitJaisalmer</v>
      </c>
      <c r="J340" s="3">
        <f>IFERROR(__xludf.DUMMYFUNCTION("""COMPUTED_VALUE"""),3455.0)</f>
        <v>3455</v>
      </c>
      <c r="K340" s="3" t="str">
        <f t="shared" ref="K340:L340" si="344">TRIM(F340)</f>
        <v>VfS</v>
      </c>
      <c r="L340" s="3" t="str">
        <f t="shared" si="344"/>
        <v>Google Ads</v>
      </c>
      <c r="M340" s="3" t="str">
        <f t="shared" si="3"/>
        <v>Google Ads</v>
      </c>
      <c r="N340" s="3" t="str">
        <f>IFERROR(__xludf.DUMMYFUNCTION("SPLIT(M340,""&amp;"")"),"Google Ads")</f>
        <v>Google Ads</v>
      </c>
      <c r="O340" s="3" t="str">
        <f t="shared" si="4"/>
        <v>Google Ads</v>
      </c>
      <c r="P340" s="3" t="str">
        <f t="shared" si="5"/>
        <v>visitJaisalmer</v>
      </c>
      <c r="Q340" s="3" t="str">
        <f t="shared" si="6"/>
        <v>Visitjaisalmer</v>
      </c>
      <c r="R340" s="3">
        <f t="shared" si="7"/>
        <v>3455</v>
      </c>
    </row>
    <row r="341">
      <c r="A341" s="7" t="s">
        <v>136</v>
      </c>
      <c r="B341" s="8" t="s">
        <v>6</v>
      </c>
      <c r="C341" s="8">
        <v>13800.0</v>
      </c>
      <c r="E341" s="3" t="str">
        <f>IFERROR(__xludf.DUMMYFUNCTION("SPLIT(A341,""|"")")," VIN/TwiTter/20221016/visitbikaner/5666 ")</f>
        <v> VIN/TwiTter/20221016/visitbikaner/5666 </v>
      </c>
      <c r="F341" s="3" t="str">
        <f>IFERROR(__xludf.DUMMYFUNCTION("SPLIT(E341,""/"")")," VIN")</f>
        <v> VIN</v>
      </c>
      <c r="G341" s="3" t="str">
        <f>IFERROR(__xludf.DUMMYFUNCTION("""COMPUTED_VALUE"""),"TwiTter")</f>
        <v>TwiTter</v>
      </c>
      <c r="H341" s="3">
        <f>IFERROR(__xludf.DUMMYFUNCTION("""COMPUTED_VALUE"""),2.0221016E7)</f>
        <v>20221016</v>
      </c>
      <c r="I341" s="3" t="str">
        <f>IFERROR(__xludf.DUMMYFUNCTION("""COMPUTED_VALUE"""),"visitbikaner")</f>
        <v>visitbikaner</v>
      </c>
      <c r="J341" s="3">
        <f>IFERROR(__xludf.DUMMYFUNCTION("""COMPUTED_VALUE"""),5666.0)</f>
        <v>5666</v>
      </c>
      <c r="K341" s="3" t="str">
        <f t="shared" ref="K341:L341" si="345">TRIM(F341)</f>
        <v>VIN</v>
      </c>
      <c r="L341" s="3" t="str">
        <f t="shared" si="345"/>
        <v>TwiTter</v>
      </c>
      <c r="M341" s="3" t="str">
        <f t="shared" si="3"/>
        <v>Twitter</v>
      </c>
      <c r="N341" s="3" t="str">
        <f>IFERROR(__xludf.DUMMYFUNCTION("SPLIT(M341,""&amp;"")"),"Twitter")</f>
        <v>Twitter</v>
      </c>
      <c r="O341" s="3" t="str">
        <f t="shared" si="4"/>
        <v>Twitter</v>
      </c>
      <c r="P341" s="3" t="str">
        <f t="shared" si="5"/>
        <v>visitbikaner</v>
      </c>
      <c r="Q341" s="3" t="str">
        <f t="shared" si="6"/>
        <v>Visitbikaner</v>
      </c>
      <c r="R341" s="3">
        <f t="shared" si="7"/>
        <v>5666</v>
      </c>
    </row>
    <row r="342">
      <c r="A342" s="7" t="s">
        <v>137</v>
      </c>
      <c r="B342" s="8" t="s">
        <v>6</v>
      </c>
      <c r="C342" s="8">
        <v>11200.0</v>
      </c>
      <c r="E342" s="3" t="str">
        <f>IFERROR(__xludf.DUMMYFUNCTION("SPLIT(A342,""|"")")," NEFT/Facebook/20221019/Visitjaipur/5676 ")</f>
        <v> NEFT/Facebook/20221019/Visitjaipur/5676 </v>
      </c>
      <c r="F342" s="3" t="str">
        <f>IFERROR(__xludf.DUMMYFUNCTION("SPLIT(E342,""/"")")," NEFT")</f>
        <v> NEFT</v>
      </c>
      <c r="G342" s="3" t="str">
        <f>IFERROR(__xludf.DUMMYFUNCTION("""COMPUTED_VALUE"""),"Facebook")</f>
        <v>Facebook</v>
      </c>
      <c r="H342" s="3">
        <f>IFERROR(__xludf.DUMMYFUNCTION("""COMPUTED_VALUE"""),2.0221019E7)</f>
        <v>20221019</v>
      </c>
      <c r="I342" s="3" t="str">
        <f>IFERROR(__xludf.DUMMYFUNCTION("""COMPUTED_VALUE"""),"Visitjaipur")</f>
        <v>Visitjaipur</v>
      </c>
      <c r="J342" s="3">
        <f>IFERROR(__xludf.DUMMYFUNCTION("""COMPUTED_VALUE"""),5676.0)</f>
        <v>5676</v>
      </c>
      <c r="K342" s="3" t="str">
        <f t="shared" ref="K342:L342" si="346">TRIM(F342)</f>
        <v>NEFT</v>
      </c>
      <c r="L342" s="3" t="str">
        <f t="shared" si="346"/>
        <v>Facebook</v>
      </c>
      <c r="M342" s="3" t="str">
        <f t="shared" si="3"/>
        <v>Facebook</v>
      </c>
      <c r="N342" s="3" t="str">
        <f>IFERROR(__xludf.DUMMYFUNCTION("SPLIT(M342,""&amp;"")"),"Facebook")</f>
        <v>Facebook</v>
      </c>
      <c r="O342" s="3" t="str">
        <f t="shared" si="4"/>
        <v>Facebook</v>
      </c>
      <c r="P342" s="3" t="str">
        <f t="shared" si="5"/>
        <v>Visitjaipur</v>
      </c>
      <c r="Q342" s="3" t="str">
        <f t="shared" si="6"/>
        <v>Visitjaipur</v>
      </c>
      <c r="R342" s="3">
        <f t="shared" si="7"/>
        <v>5676</v>
      </c>
    </row>
    <row r="343">
      <c r="A343" s="7" t="s">
        <v>138</v>
      </c>
      <c r="B343" s="8" t="s">
        <v>6</v>
      </c>
      <c r="C343" s="8">
        <v>13300.0</v>
      </c>
      <c r="E343" s="3" t="str">
        <f>IFERROR(__xludf.DUMMYFUNCTION("SPLIT(A343,""|"")")," CHQ/YouTube &amp;/20221022/Visitrajasthan/4564 ")</f>
        <v> CHQ/YouTube &amp;/20221022/Visitrajasthan/4564 </v>
      </c>
      <c r="F343" s="3" t="str">
        <f>IFERROR(__xludf.DUMMYFUNCTION("SPLIT(E343,""/"")")," CHQ")</f>
        <v> CHQ</v>
      </c>
      <c r="G343" s="3" t="str">
        <f>IFERROR(__xludf.DUMMYFUNCTION("""COMPUTED_VALUE"""),"YouTube &amp;")</f>
        <v>YouTube &amp;</v>
      </c>
      <c r="H343" s="3">
        <f>IFERROR(__xludf.DUMMYFUNCTION("""COMPUTED_VALUE"""),2.0221022E7)</f>
        <v>20221022</v>
      </c>
      <c r="I343" s="3" t="str">
        <f>IFERROR(__xludf.DUMMYFUNCTION("""COMPUTED_VALUE"""),"Visitrajasthan")</f>
        <v>Visitrajasthan</v>
      </c>
      <c r="J343" s="3">
        <f>IFERROR(__xludf.DUMMYFUNCTION("""COMPUTED_VALUE"""),4564.0)</f>
        <v>4564</v>
      </c>
      <c r="K343" s="3" t="str">
        <f t="shared" ref="K343:L343" si="347">TRIM(F343)</f>
        <v>CHQ</v>
      </c>
      <c r="L343" s="3" t="str">
        <f t="shared" si="347"/>
        <v>YouTube &amp;</v>
      </c>
      <c r="M343" s="3" t="str">
        <f t="shared" si="3"/>
        <v>Youtube &amp;</v>
      </c>
      <c r="N343" s="3" t="str">
        <f>IFERROR(__xludf.DUMMYFUNCTION("SPLIT(M343,""&amp;"")"),"Youtube ")</f>
        <v>Youtube </v>
      </c>
      <c r="O343" s="3" t="str">
        <f t="shared" si="4"/>
        <v>Youtube</v>
      </c>
      <c r="P343" s="3" t="str">
        <f t="shared" si="5"/>
        <v>Visitrajasthan</v>
      </c>
      <c r="Q343" s="3" t="str">
        <f t="shared" si="6"/>
        <v>Visitrajasthan</v>
      </c>
      <c r="R343" s="3">
        <f t="shared" si="7"/>
        <v>4564</v>
      </c>
    </row>
    <row r="344">
      <c r="A344" s="7" t="s">
        <v>139</v>
      </c>
      <c r="B344" s="8" t="s">
        <v>6</v>
      </c>
      <c r="C344" s="8">
        <v>49500.0</v>
      </c>
      <c r="E344" s="3" t="str">
        <f>IFERROR(__xludf.DUMMYFUNCTION("SPLIT(A344,""|"")")," VfS/Instagram/20221025/visitudaipur/4565 ")</f>
        <v> VfS/Instagram/20221025/visitudaipur/4565 </v>
      </c>
      <c r="F344" s="3" t="str">
        <f>IFERROR(__xludf.DUMMYFUNCTION("SPLIT(E344,""/"")")," VfS")</f>
        <v> VfS</v>
      </c>
      <c r="G344" s="3" t="str">
        <f>IFERROR(__xludf.DUMMYFUNCTION("""COMPUTED_VALUE"""),"Instagram")</f>
        <v>Instagram</v>
      </c>
      <c r="H344" s="3">
        <f>IFERROR(__xludf.DUMMYFUNCTION("""COMPUTED_VALUE"""),2.0221025E7)</f>
        <v>20221025</v>
      </c>
      <c r="I344" s="3" t="str">
        <f>IFERROR(__xludf.DUMMYFUNCTION("""COMPUTED_VALUE"""),"visitudaipur")</f>
        <v>visitudaipur</v>
      </c>
      <c r="J344" s="3">
        <f>IFERROR(__xludf.DUMMYFUNCTION("""COMPUTED_VALUE"""),4565.0)</f>
        <v>4565</v>
      </c>
      <c r="K344" s="3" t="str">
        <f t="shared" ref="K344:L344" si="348">TRIM(F344)</f>
        <v>VfS</v>
      </c>
      <c r="L344" s="3" t="str">
        <f t="shared" si="348"/>
        <v>Instagram</v>
      </c>
      <c r="M344" s="3" t="str">
        <f t="shared" si="3"/>
        <v>Instagram</v>
      </c>
      <c r="N344" s="3" t="str">
        <f>IFERROR(__xludf.DUMMYFUNCTION("SPLIT(M344,""&amp;"")"),"Instagram")</f>
        <v>Instagram</v>
      </c>
      <c r="O344" s="3" t="str">
        <f t="shared" si="4"/>
        <v>Instagram</v>
      </c>
      <c r="P344" s="3" t="str">
        <f t="shared" si="5"/>
        <v>visitudaipur</v>
      </c>
      <c r="Q344" s="3" t="str">
        <f t="shared" si="6"/>
        <v>Visitudaipur</v>
      </c>
      <c r="R344" s="3">
        <f t="shared" si="7"/>
        <v>4565</v>
      </c>
    </row>
    <row r="345">
      <c r="A345" s="7" t="s">
        <v>140</v>
      </c>
      <c r="B345" s="8" t="s">
        <v>6</v>
      </c>
      <c r="C345" s="8">
        <v>19000.0</v>
      </c>
      <c r="E345" s="3" t="str">
        <f>IFERROR(__xludf.DUMMYFUNCTION("SPLIT(A345,""|"")")," VIN/OfflINe &amp;/20221028/Visitjodhpur/4566 ")</f>
        <v> VIN/OfflINe &amp;/20221028/Visitjodhpur/4566 </v>
      </c>
      <c r="F345" s="3" t="str">
        <f>IFERROR(__xludf.DUMMYFUNCTION("SPLIT(E345,""/"")")," VIN")</f>
        <v> VIN</v>
      </c>
      <c r="G345" s="3" t="str">
        <f>IFERROR(__xludf.DUMMYFUNCTION("""COMPUTED_VALUE"""),"OfflINe &amp;")</f>
        <v>OfflINe &amp;</v>
      </c>
      <c r="H345" s="3">
        <f>IFERROR(__xludf.DUMMYFUNCTION("""COMPUTED_VALUE"""),2.0221028E7)</f>
        <v>20221028</v>
      </c>
      <c r="I345" s="3" t="str">
        <f>IFERROR(__xludf.DUMMYFUNCTION("""COMPUTED_VALUE"""),"Visitjodhpur")</f>
        <v>Visitjodhpur</v>
      </c>
      <c r="J345" s="3">
        <f>IFERROR(__xludf.DUMMYFUNCTION("""COMPUTED_VALUE"""),4566.0)</f>
        <v>4566</v>
      </c>
      <c r="K345" s="3" t="str">
        <f t="shared" ref="K345:L345" si="349">TRIM(F345)</f>
        <v>VIN</v>
      </c>
      <c r="L345" s="3" t="str">
        <f t="shared" si="349"/>
        <v>OfflINe &amp;</v>
      </c>
      <c r="M345" s="3" t="str">
        <f t="shared" si="3"/>
        <v>Offline &amp;</v>
      </c>
      <c r="N345" s="3" t="str">
        <f>IFERROR(__xludf.DUMMYFUNCTION("SPLIT(M345,""&amp;"")"),"Offline ")</f>
        <v>Offline </v>
      </c>
      <c r="O345" s="3" t="str">
        <f t="shared" si="4"/>
        <v>Offline</v>
      </c>
      <c r="P345" s="3" t="str">
        <f t="shared" si="5"/>
        <v>Visitjodhpur</v>
      </c>
      <c r="Q345" s="3" t="str">
        <f t="shared" si="6"/>
        <v>Visitjodhpur</v>
      </c>
      <c r="R345" s="3">
        <f t="shared" si="7"/>
        <v>4566</v>
      </c>
    </row>
    <row r="346">
      <c r="A346" s="7" t="s">
        <v>141</v>
      </c>
      <c r="B346" s="8" t="s">
        <v>19</v>
      </c>
      <c r="C346" s="8">
        <v>31200.0</v>
      </c>
      <c r="E346" s="3" t="str">
        <f>IFERROR(__xludf.DUMMYFUNCTION("SPLIT(A346,""|"")")," CHQ/Facebook/20221101/Visitjaipur/5676 ")</f>
        <v> CHQ/Facebook/20221101/Visitjaipur/5676 </v>
      </c>
      <c r="F346" s="3" t="str">
        <f>IFERROR(__xludf.DUMMYFUNCTION("SPLIT(E346,""/"")")," CHQ")</f>
        <v> CHQ</v>
      </c>
      <c r="G346" s="3" t="str">
        <f>IFERROR(__xludf.DUMMYFUNCTION("""COMPUTED_VALUE"""),"Facebook")</f>
        <v>Facebook</v>
      </c>
      <c r="H346" s="3">
        <f>IFERROR(__xludf.DUMMYFUNCTION("""COMPUTED_VALUE"""),2.0221101E7)</f>
        <v>20221101</v>
      </c>
      <c r="I346" s="3" t="str">
        <f>IFERROR(__xludf.DUMMYFUNCTION("""COMPUTED_VALUE"""),"Visitjaipur")</f>
        <v>Visitjaipur</v>
      </c>
      <c r="J346" s="3">
        <f>IFERROR(__xludf.DUMMYFUNCTION("""COMPUTED_VALUE"""),5676.0)</f>
        <v>5676</v>
      </c>
      <c r="K346" s="3" t="str">
        <f t="shared" ref="K346:L346" si="350">TRIM(F346)</f>
        <v>CHQ</v>
      </c>
      <c r="L346" s="3" t="str">
        <f t="shared" si="350"/>
        <v>Facebook</v>
      </c>
      <c r="M346" s="3" t="str">
        <f t="shared" si="3"/>
        <v>Facebook</v>
      </c>
      <c r="N346" s="3" t="str">
        <f>IFERROR(__xludf.DUMMYFUNCTION("SPLIT(M346,""&amp;"")"),"Facebook")</f>
        <v>Facebook</v>
      </c>
      <c r="O346" s="3" t="str">
        <f t="shared" si="4"/>
        <v>Facebook</v>
      </c>
      <c r="P346" s="3" t="str">
        <f t="shared" si="5"/>
        <v>Visitjaipur</v>
      </c>
      <c r="Q346" s="3" t="str">
        <f t="shared" si="6"/>
        <v>Visitjaipur</v>
      </c>
      <c r="R346" s="3">
        <f t="shared" si="7"/>
        <v>5676</v>
      </c>
    </row>
    <row r="347">
      <c r="A347" s="7" t="s">
        <v>142</v>
      </c>
      <c r="B347" s="8" t="s">
        <v>19</v>
      </c>
      <c r="C347" s="8">
        <v>30100.0</v>
      </c>
      <c r="E347" s="3" t="str">
        <f>IFERROR(__xludf.DUMMYFUNCTION("SPLIT(A347,""|"")")," VfS/YouTube/20221104/Visitrajasthan/4564 ")</f>
        <v> VfS/YouTube/20221104/Visitrajasthan/4564 </v>
      </c>
      <c r="F347" s="3" t="str">
        <f>IFERROR(__xludf.DUMMYFUNCTION("SPLIT(E347,""/"")")," VfS")</f>
        <v> VfS</v>
      </c>
      <c r="G347" s="3" t="str">
        <f>IFERROR(__xludf.DUMMYFUNCTION("""COMPUTED_VALUE"""),"YouTube")</f>
        <v>YouTube</v>
      </c>
      <c r="H347" s="3">
        <f>IFERROR(__xludf.DUMMYFUNCTION("""COMPUTED_VALUE"""),2.0221104E7)</f>
        <v>20221104</v>
      </c>
      <c r="I347" s="3" t="str">
        <f>IFERROR(__xludf.DUMMYFUNCTION("""COMPUTED_VALUE"""),"Visitrajasthan")</f>
        <v>Visitrajasthan</v>
      </c>
      <c r="J347" s="3">
        <f>IFERROR(__xludf.DUMMYFUNCTION("""COMPUTED_VALUE"""),4564.0)</f>
        <v>4564</v>
      </c>
      <c r="K347" s="3" t="str">
        <f t="shared" ref="K347:L347" si="351">TRIM(F347)</f>
        <v>VfS</v>
      </c>
      <c r="L347" s="3" t="str">
        <f t="shared" si="351"/>
        <v>YouTube</v>
      </c>
      <c r="M347" s="3" t="str">
        <f t="shared" si="3"/>
        <v>Youtube</v>
      </c>
      <c r="N347" s="3" t="str">
        <f>IFERROR(__xludf.DUMMYFUNCTION("SPLIT(M347,""&amp;"")"),"Youtube")</f>
        <v>Youtube</v>
      </c>
      <c r="O347" s="3" t="str">
        <f t="shared" si="4"/>
        <v>Youtube</v>
      </c>
      <c r="P347" s="3" t="str">
        <f t="shared" si="5"/>
        <v>Visitrajasthan</v>
      </c>
      <c r="Q347" s="3" t="str">
        <f t="shared" si="6"/>
        <v>Visitrajasthan</v>
      </c>
      <c r="R347" s="3">
        <f t="shared" si="7"/>
        <v>4564</v>
      </c>
    </row>
    <row r="348">
      <c r="A348" s="7" t="s">
        <v>143</v>
      </c>
      <c r="B348" s="8" t="s">
        <v>19</v>
      </c>
      <c r="C348" s="8">
        <v>63300.0</v>
      </c>
      <c r="E348" s="3" t="str">
        <f>IFERROR(__xludf.DUMMYFUNCTION("SPLIT(A348,""|"")")," NEFT/Instagram/20221107/visitudaipur/4565 ")</f>
        <v> NEFT/Instagram/20221107/visitudaipur/4565 </v>
      </c>
      <c r="F348" s="3" t="str">
        <f>IFERROR(__xludf.DUMMYFUNCTION("SPLIT(E348,""/"")")," NEFT")</f>
        <v> NEFT</v>
      </c>
      <c r="G348" s="3" t="str">
        <f>IFERROR(__xludf.DUMMYFUNCTION("""COMPUTED_VALUE"""),"Instagram")</f>
        <v>Instagram</v>
      </c>
      <c r="H348" s="3">
        <f>IFERROR(__xludf.DUMMYFUNCTION("""COMPUTED_VALUE"""),2.0221107E7)</f>
        <v>20221107</v>
      </c>
      <c r="I348" s="3" t="str">
        <f>IFERROR(__xludf.DUMMYFUNCTION("""COMPUTED_VALUE"""),"visitudaipur")</f>
        <v>visitudaipur</v>
      </c>
      <c r="J348" s="3">
        <f>IFERROR(__xludf.DUMMYFUNCTION("""COMPUTED_VALUE"""),4565.0)</f>
        <v>4565</v>
      </c>
      <c r="K348" s="3" t="str">
        <f t="shared" ref="K348:L348" si="352">TRIM(F348)</f>
        <v>NEFT</v>
      </c>
      <c r="L348" s="3" t="str">
        <f t="shared" si="352"/>
        <v>Instagram</v>
      </c>
      <c r="M348" s="3" t="str">
        <f t="shared" si="3"/>
        <v>Instagram</v>
      </c>
      <c r="N348" s="3" t="str">
        <f>IFERROR(__xludf.DUMMYFUNCTION("SPLIT(M348,""&amp;"")"),"Instagram")</f>
        <v>Instagram</v>
      </c>
      <c r="O348" s="3" t="str">
        <f t="shared" si="4"/>
        <v>Instagram</v>
      </c>
      <c r="P348" s="3" t="str">
        <f t="shared" si="5"/>
        <v>visitudaipur</v>
      </c>
      <c r="Q348" s="3" t="str">
        <f t="shared" si="6"/>
        <v>Visitudaipur</v>
      </c>
      <c r="R348" s="3">
        <f t="shared" si="7"/>
        <v>4565</v>
      </c>
    </row>
    <row r="349">
      <c r="A349" s="7" t="s">
        <v>144</v>
      </c>
      <c r="B349" s="8" t="s">
        <v>19</v>
      </c>
      <c r="C349" s="8">
        <v>56900.0</v>
      </c>
      <c r="E349" s="3" t="str">
        <f>IFERROR(__xludf.DUMMYFUNCTION("SPLIT(A349,""|"")")," CHQ/Offline &amp;/20221110/Visitjodhpur/4566 ")</f>
        <v> CHQ/Offline &amp;/20221110/Visitjodhpur/4566 </v>
      </c>
      <c r="F349" s="3" t="str">
        <f>IFERROR(__xludf.DUMMYFUNCTION("SPLIT(E349,""/"")")," CHQ")</f>
        <v> CHQ</v>
      </c>
      <c r="G349" s="3" t="str">
        <f>IFERROR(__xludf.DUMMYFUNCTION("""COMPUTED_VALUE"""),"Offline &amp;")</f>
        <v>Offline &amp;</v>
      </c>
      <c r="H349" s="3">
        <f>IFERROR(__xludf.DUMMYFUNCTION("""COMPUTED_VALUE"""),2.022111E7)</f>
        <v>20221110</v>
      </c>
      <c r="I349" s="3" t="str">
        <f>IFERROR(__xludf.DUMMYFUNCTION("""COMPUTED_VALUE"""),"Visitjodhpur")</f>
        <v>Visitjodhpur</v>
      </c>
      <c r="J349" s="3">
        <f>IFERROR(__xludf.DUMMYFUNCTION("""COMPUTED_VALUE"""),4566.0)</f>
        <v>4566</v>
      </c>
      <c r="K349" s="3" t="str">
        <f t="shared" ref="K349:L349" si="353">TRIM(F349)</f>
        <v>CHQ</v>
      </c>
      <c r="L349" s="3" t="str">
        <f t="shared" si="353"/>
        <v>Offline &amp;</v>
      </c>
      <c r="M349" s="3" t="str">
        <f t="shared" si="3"/>
        <v>Offline &amp;</v>
      </c>
      <c r="N349" s="3" t="str">
        <f>IFERROR(__xludf.DUMMYFUNCTION("SPLIT(M349,""&amp;"")"),"Offline ")</f>
        <v>Offline </v>
      </c>
      <c r="O349" s="3" t="str">
        <f t="shared" si="4"/>
        <v>Offline</v>
      </c>
      <c r="P349" s="3" t="str">
        <f t="shared" si="5"/>
        <v>Visitjodhpur</v>
      </c>
      <c r="Q349" s="3" t="str">
        <f t="shared" si="6"/>
        <v>Visitjodhpur</v>
      </c>
      <c r="R349" s="3">
        <f t="shared" si="7"/>
        <v>4566</v>
      </c>
    </row>
    <row r="350">
      <c r="A350" s="7" t="s">
        <v>145</v>
      </c>
      <c r="B350" s="8" t="s">
        <v>19</v>
      </c>
      <c r="C350" s="8">
        <v>49400.0</v>
      </c>
      <c r="E350" s="3" t="str">
        <f>IFERROR(__xludf.DUMMYFUNCTION("SPLIT(A350,""|"")")," VfS/Google Ads/20221113/visitJaisalmer/3455 ")</f>
        <v> VfS/Google Ads/20221113/visitJaisalmer/3455 </v>
      </c>
      <c r="F350" s="3" t="str">
        <f>IFERROR(__xludf.DUMMYFUNCTION("SPLIT(E350,""/"")")," VfS")</f>
        <v> VfS</v>
      </c>
      <c r="G350" s="3" t="str">
        <f>IFERROR(__xludf.DUMMYFUNCTION("""COMPUTED_VALUE"""),"Google Ads")</f>
        <v>Google Ads</v>
      </c>
      <c r="H350" s="3">
        <f>IFERROR(__xludf.DUMMYFUNCTION("""COMPUTED_VALUE"""),2.0221113E7)</f>
        <v>20221113</v>
      </c>
      <c r="I350" s="3" t="str">
        <f>IFERROR(__xludf.DUMMYFUNCTION("""COMPUTED_VALUE"""),"visitJaisalmer")</f>
        <v>visitJaisalmer</v>
      </c>
      <c r="J350" s="3">
        <f>IFERROR(__xludf.DUMMYFUNCTION("""COMPUTED_VALUE"""),3455.0)</f>
        <v>3455</v>
      </c>
      <c r="K350" s="3" t="str">
        <f t="shared" ref="K350:L350" si="354">TRIM(F350)</f>
        <v>VfS</v>
      </c>
      <c r="L350" s="3" t="str">
        <f t="shared" si="354"/>
        <v>Google Ads</v>
      </c>
      <c r="M350" s="3" t="str">
        <f t="shared" si="3"/>
        <v>Google Ads</v>
      </c>
      <c r="N350" s="3" t="str">
        <f>IFERROR(__xludf.DUMMYFUNCTION("SPLIT(M350,""&amp;"")"),"Google Ads")</f>
        <v>Google Ads</v>
      </c>
      <c r="O350" s="3" t="str">
        <f t="shared" si="4"/>
        <v>Google Ads</v>
      </c>
      <c r="P350" s="3" t="str">
        <f t="shared" si="5"/>
        <v>visitJaisalmer</v>
      </c>
      <c r="Q350" s="3" t="str">
        <f t="shared" si="6"/>
        <v>Visitjaisalmer</v>
      </c>
      <c r="R350" s="3">
        <f t="shared" si="7"/>
        <v>3455</v>
      </c>
    </row>
    <row r="351">
      <c r="A351" s="7" t="s">
        <v>146</v>
      </c>
      <c r="B351" s="8" t="s">
        <v>19</v>
      </c>
      <c r="C351" s="8">
        <v>36000.0</v>
      </c>
      <c r="E351" s="3" t="str">
        <f>IFERROR(__xludf.DUMMYFUNCTION("SPLIT(A351,""|"")")," VIN/TwiTter/20221116/visitbikaner/5666 ")</f>
        <v> VIN/TwiTter/20221116/visitbikaner/5666 </v>
      </c>
      <c r="F351" s="3" t="str">
        <f>IFERROR(__xludf.DUMMYFUNCTION("SPLIT(E351,""/"")")," VIN")</f>
        <v> VIN</v>
      </c>
      <c r="G351" s="3" t="str">
        <f>IFERROR(__xludf.DUMMYFUNCTION("""COMPUTED_VALUE"""),"TwiTter")</f>
        <v>TwiTter</v>
      </c>
      <c r="H351" s="3">
        <f>IFERROR(__xludf.DUMMYFUNCTION("""COMPUTED_VALUE"""),2.0221116E7)</f>
        <v>20221116</v>
      </c>
      <c r="I351" s="3" t="str">
        <f>IFERROR(__xludf.DUMMYFUNCTION("""COMPUTED_VALUE"""),"visitbikaner")</f>
        <v>visitbikaner</v>
      </c>
      <c r="J351" s="3">
        <f>IFERROR(__xludf.DUMMYFUNCTION("""COMPUTED_VALUE"""),5666.0)</f>
        <v>5666</v>
      </c>
      <c r="K351" s="3" t="str">
        <f t="shared" ref="K351:L351" si="355">TRIM(F351)</f>
        <v>VIN</v>
      </c>
      <c r="L351" s="3" t="str">
        <f t="shared" si="355"/>
        <v>TwiTter</v>
      </c>
      <c r="M351" s="3" t="str">
        <f t="shared" si="3"/>
        <v>Twitter</v>
      </c>
      <c r="N351" s="3" t="str">
        <f>IFERROR(__xludf.DUMMYFUNCTION("SPLIT(M351,""&amp;"")"),"Twitter")</f>
        <v>Twitter</v>
      </c>
      <c r="O351" s="3" t="str">
        <f t="shared" si="4"/>
        <v>Twitter</v>
      </c>
      <c r="P351" s="3" t="str">
        <f t="shared" si="5"/>
        <v>visitbikaner</v>
      </c>
      <c r="Q351" s="3" t="str">
        <f t="shared" si="6"/>
        <v>Visitbikaner</v>
      </c>
      <c r="R351" s="3">
        <f t="shared" si="7"/>
        <v>5666</v>
      </c>
    </row>
    <row r="352">
      <c r="A352" s="7" t="s">
        <v>147</v>
      </c>
      <c r="B352" s="8" t="s">
        <v>19</v>
      </c>
      <c r="C352" s="8">
        <v>50200.0</v>
      </c>
      <c r="E352" s="3" t="str">
        <f>IFERROR(__xludf.DUMMYFUNCTION("SPLIT(A352,""|"")")," NEFT/Facebook/20221119/Visitjaipur/5676 ")</f>
        <v> NEFT/Facebook/20221119/Visitjaipur/5676 </v>
      </c>
      <c r="F352" s="3" t="str">
        <f>IFERROR(__xludf.DUMMYFUNCTION("SPLIT(E352,""/"")")," NEFT")</f>
        <v> NEFT</v>
      </c>
      <c r="G352" s="3" t="str">
        <f>IFERROR(__xludf.DUMMYFUNCTION("""COMPUTED_VALUE"""),"Facebook")</f>
        <v>Facebook</v>
      </c>
      <c r="H352" s="3">
        <f>IFERROR(__xludf.DUMMYFUNCTION("""COMPUTED_VALUE"""),2.0221119E7)</f>
        <v>20221119</v>
      </c>
      <c r="I352" s="3" t="str">
        <f>IFERROR(__xludf.DUMMYFUNCTION("""COMPUTED_VALUE"""),"Visitjaipur")</f>
        <v>Visitjaipur</v>
      </c>
      <c r="J352" s="3">
        <f>IFERROR(__xludf.DUMMYFUNCTION("""COMPUTED_VALUE"""),5676.0)</f>
        <v>5676</v>
      </c>
      <c r="K352" s="3" t="str">
        <f t="shared" ref="K352:L352" si="356">TRIM(F352)</f>
        <v>NEFT</v>
      </c>
      <c r="L352" s="3" t="str">
        <f t="shared" si="356"/>
        <v>Facebook</v>
      </c>
      <c r="M352" s="3" t="str">
        <f t="shared" si="3"/>
        <v>Facebook</v>
      </c>
      <c r="N352" s="3" t="str">
        <f>IFERROR(__xludf.DUMMYFUNCTION("SPLIT(M352,""&amp;"")"),"Facebook")</f>
        <v>Facebook</v>
      </c>
      <c r="O352" s="3" t="str">
        <f t="shared" si="4"/>
        <v>Facebook</v>
      </c>
      <c r="P352" s="3" t="str">
        <f t="shared" si="5"/>
        <v>Visitjaipur</v>
      </c>
      <c r="Q352" s="3" t="str">
        <f t="shared" si="6"/>
        <v>Visitjaipur</v>
      </c>
      <c r="R352" s="3">
        <f t="shared" si="7"/>
        <v>5676</v>
      </c>
    </row>
    <row r="353">
      <c r="A353" s="7" t="s">
        <v>148</v>
      </c>
      <c r="B353" s="8" t="s">
        <v>19</v>
      </c>
      <c r="C353" s="8">
        <v>58500.0</v>
      </c>
      <c r="E353" s="3" t="str">
        <f>IFERROR(__xludf.DUMMYFUNCTION("SPLIT(A353,""|"")")," CHQ/YouTube &amp;/20221122/Visitrajasthan/4564 ")</f>
        <v> CHQ/YouTube &amp;/20221122/Visitrajasthan/4564 </v>
      </c>
      <c r="F353" s="3" t="str">
        <f>IFERROR(__xludf.DUMMYFUNCTION("SPLIT(E353,""/"")")," CHQ")</f>
        <v> CHQ</v>
      </c>
      <c r="G353" s="3" t="str">
        <f>IFERROR(__xludf.DUMMYFUNCTION("""COMPUTED_VALUE"""),"YouTube &amp;")</f>
        <v>YouTube &amp;</v>
      </c>
      <c r="H353" s="3">
        <f>IFERROR(__xludf.DUMMYFUNCTION("""COMPUTED_VALUE"""),2.0221122E7)</f>
        <v>20221122</v>
      </c>
      <c r="I353" s="3" t="str">
        <f>IFERROR(__xludf.DUMMYFUNCTION("""COMPUTED_VALUE"""),"Visitrajasthan")</f>
        <v>Visitrajasthan</v>
      </c>
      <c r="J353" s="3">
        <f>IFERROR(__xludf.DUMMYFUNCTION("""COMPUTED_VALUE"""),4564.0)</f>
        <v>4564</v>
      </c>
      <c r="K353" s="3" t="str">
        <f t="shared" ref="K353:L353" si="357">TRIM(F353)</f>
        <v>CHQ</v>
      </c>
      <c r="L353" s="3" t="str">
        <f t="shared" si="357"/>
        <v>YouTube &amp;</v>
      </c>
      <c r="M353" s="3" t="str">
        <f t="shared" si="3"/>
        <v>Youtube &amp;</v>
      </c>
      <c r="N353" s="3" t="str">
        <f>IFERROR(__xludf.DUMMYFUNCTION("SPLIT(M353,""&amp;"")"),"Youtube ")</f>
        <v>Youtube </v>
      </c>
      <c r="O353" s="3" t="str">
        <f t="shared" si="4"/>
        <v>Youtube</v>
      </c>
      <c r="P353" s="3" t="str">
        <f t="shared" si="5"/>
        <v>Visitrajasthan</v>
      </c>
      <c r="Q353" s="3" t="str">
        <f t="shared" si="6"/>
        <v>Visitrajasthan</v>
      </c>
      <c r="R353" s="3">
        <f t="shared" si="7"/>
        <v>4564</v>
      </c>
    </row>
    <row r="354">
      <c r="A354" s="7" t="s">
        <v>149</v>
      </c>
      <c r="B354" s="8" t="s">
        <v>19</v>
      </c>
      <c r="C354" s="8">
        <v>83900.0</v>
      </c>
      <c r="E354" s="3" t="str">
        <f>IFERROR(__xludf.DUMMYFUNCTION("SPLIT(A354,""|"")")," VfS/Instagram/20221125/visitudaipur/4565 ")</f>
        <v> VfS/Instagram/20221125/visitudaipur/4565 </v>
      </c>
      <c r="F354" s="3" t="str">
        <f>IFERROR(__xludf.DUMMYFUNCTION("SPLIT(E354,""/"")")," VfS")</f>
        <v> VfS</v>
      </c>
      <c r="G354" s="3" t="str">
        <f>IFERROR(__xludf.DUMMYFUNCTION("""COMPUTED_VALUE"""),"Instagram")</f>
        <v>Instagram</v>
      </c>
      <c r="H354" s="3">
        <f>IFERROR(__xludf.DUMMYFUNCTION("""COMPUTED_VALUE"""),2.0221125E7)</f>
        <v>20221125</v>
      </c>
      <c r="I354" s="3" t="str">
        <f>IFERROR(__xludf.DUMMYFUNCTION("""COMPUTED_VALUE"""),"visitudaipur")</f>
        <v>visitudaipur</v>
      </c>
      <c r="J354" s="3">
        <f>IFERROR(__xludf.DUMMYFUNCTION("""COMPUTED_VALUE"""),4565.0)</f>
        <v>4565</v>
      </c>
      <c r="K354" s="3" t="str">
        <f t="shared" ref="K354:L354" si="358">TRIM(F354)</f>
        <v>VfS</v>
      </c>
      <c r="L354" s="3" t="str">
        <f t="shared" si="358"/>
        <v>Instagram</v>
      </c>
      <c r="M354" s="3" t="str">
        <f t="shared" si="3"/>
        <v>Instagram</v>
      </c>
      <c r="N354" s="3" t="str">
        <f>IFERROR(__xludf.DUMMYFUNCTION("SPLIT(M354,""&amp;"")"),"Instagram")</f>
        <v>Instagram</v>
      </c>
      <c r="O354" s="3" t="str">
        <f t="shared" si="4"/>
        <v>Instagram</v>
      </c>
      <c r="P354" s="3" t="str">
        <f t="shared" si="5"/>
        <v>visitudaipur</v>
      </c>
      <c r="Q354" s="3" t="str">
        <f t="shared" si="6"/>
        <v>Visitudaipur</v>
      </c>
      <c r="R354" s="3">
        <f t="shared" si="7"/>
        <v>4565</v>
      </c>
    </row>
    <row r="355">
      <c r="A355" s="7" t="s">
        <v>150</v>
      </c>
      <c r="B355" s="8" t="s">
        <v>19</v>
      </c>
      <c r="C355" s="8">
        <v>76700.0</v>
      </c>
      <c r="E355" s="3" t="str">
        <f>IFERROR(__xludf.DUMMYFUNCTION("SPLIT(A355,""|"")")," VIN/OfflINe &amp;/20221128/Visitjodhpur/4566 ")</f>
        <v> VIN/OfflINe &amp;/20221128/Visitjodhpur/4566 </v>
      </c>
      <c r="F355" s="3" t="str">
        <f>IFERROR(__xludf.DUMMYFUNCTION("SPLIT(E355,""/"")")," VIN")</f>
        <v> VIN</v>
      </c>
      <c r="G355" s="3" t="str">
        <f>IFERROR(__xludf.DUMMYFUNCTION("""COMPUTED_VALUE"""),"OfflINe &amp;")</f>
        <v>OfflINe &amp;</v>
      </c>
      <c r="H355" s="3">
        <f>IFERROR(__xludf.DUMMYFUNCTION("""COMPUTED_VALUE"""),2.0221128E7)</f>
        <v>20221128</v>
      </c>
      <c r="I355" s="3" t="str">
        <f>IFERROR(__xludf.DUMMYFUNCTION("""COMPUTED_VALUE"""),"Visitjodhpur")</f>
        <v>Visitjodhpur</v>
      </c>
      <c r="J355" s="3">
        <f>IFERROR(__xludf.DUMMYFUNCTION("""COMPUTED_VALUE"""),4566.0)</f>
        <v>4566</v>
      </c>
      <c r="K355" s="3" t="str">
        <f t="shared" ref="K355:L355" si="359">TRIM(F355)</f>
        <v>VIN</v>
      </c>
      <c r="L355" s="3" t="str">
        <f t="shared" si="359"/>
        <v>OfflINe &amp;</v>
      </c>
      <c r="M355" s="3" t="str">
        <f t="shared" si="3"/>
        <v>Offline &amp;</v>
      </c>
      <c r="N355" s="3" t="str">
        <f>IFERROR(__xludf.DUMMYFUNCTION("SPLIT(M355,""&amp;"")"),"Offline ")</f>
        <v>Offline </v>
      </c>
      <c r="O355" s="3" t="str">
        <f t="shared" si="4"/>
        <v>Offline</v>
      </c>
      <c r="P355" s="3" t="str">
        <f t="shared" si="5"/>
        <v>Visitjodhpur</v>
      </c>
      <c r="Q355" s="3" t="str">
        <f t="shared" si="6"/>
        <v>Visitjodhpur</v>
      </c>
      <c r="R355" s="3">
        <f t="shared" si="7"/>
        <v>4566</v>
      </c>
    </row>
    <row r="356">
      <c r="A356" s="7" t="s">
        <v>121</v>
      </c>
      <c r="B356" s="8" t="s">
        <v>20</v>
      </c>
      <c r="C356" s="8">
        <v>11000.0</v>
      </c>
      <c r="E356" s="3" t="str">
        <f>IFERROR(__xludf.DUMMYFUNCTION("SPLIT(A356,""|"")")," CHQ/Facebook/20221201/Visitjaipur/5676 ")</f>
        <v> CHQ/Facebook/20221201/Visitjaipur/5676 </v>
      </c>
      <c r="F356" s="3" t="str">
        <f>IFERROR(__xludf.DUMMYFUNCTION("SPLIT(E356,""/"")")," CHQ")</f>
        <v> CHQ</v>
      </c>
      <c r="G356" s="3" t="str">
        <f>IFERROR(__xludf.DUMMYFUNCTION("""COMPUTED_VALUE"""),"Facebook")</f>
        <v>Facebook</v>
      </c>
      <c r="H356" s="3">
        <f>IFERROR(__xludf.DUMMYFUNCTION("""COMPUTED_VALUE"""),2.0221201E7)</f>
        <v>20221201</v>
      </c>
      <c r="I356" s="3" t="str">
        <f>IFERROR(__xludf.DUMMYFUNCTION("""COMPUTED_VALUE"""),"Visitjaipur")</f>
        <v>Visitjaipur</v>
      </c>
      <c r="J356" s="3">
        <f>IFERROR(__xludf.DUMMYFUNCTION("""COMPUTED_VALUE"""),5676.0)</f>
        <v>5676</v>
      </c>
      <c r="K356" s="3" t="str">
        <f t="shared" ref="K356:L356" si="360">TRIM(F356)</f>
        <v>CHQ</v>
      </c>
      <c r="L356" s="3" t="str">
        <f t="shared" si="360"/>
        <v>Facebook</v>
      </c>
      <c r="M356" s="3" t="str">
        <f t="shared" si="3"/>
        <v>Facebook</v>
      </c>
      <c r="N356" s="3" t="str">
        <f>IFERROR(__xludf.DUMMYFUNCTION("SPLIT(M356,""&amp;"")"),"Facebook")</f>
        <v>Facebook</v>
      </c>
      <c r="O356" s="3" t="str">
        <f t="shared" si="4"/>
        <v>Facebook</v>
      </c>
      <c r="P356" s="3" t="str">
        <f t="shared" si="5"/>
        <v>Visitjaipur</v>
      </c>
      <c r="Q356" s="3" t="str">
        <f t="shared" si="6"/>
        <v>Visitjaipur</v>
      </c>
      <c r="R356" s="3">
        <f t="shared" si="7"/>
        <v>5676</v>
      </c>
    </row>
    <row r="357">
      <c r="A357" s="7" t="s">
        <v>122</v>
      </c>
      <c r="B357" s="8" t="s">
        <v>20</v>
      </c>
      <c r="C357" s="8">
        <v>83800.0</v>
      </c>
      <c r="E357" s="3" t="str">
        <f>IFERROR(__xludf.DUMMYFUNCTION("SPLIT(A357,""|"")")," VfS/YouTube/20221204/Visitrajasthan/4564 ")</f>
        <v> VfS/YouTube/20221204/Visitrajasthan/4564 </v>
      </c>
      <c r="F357" s="3" t="str">
        <f>IFERROR(__xludf.DUMMYFUNCTION("SPLIT(E357,""/"")")," VfS")</f>
        <v> VfS</v>
      </c>
      <c r="G357" s="3" t="str">
        <f>IFERROR(__xludf.DUMMYFUNCTION("""COMPUTED_VALUE"""),"YouTube")</f>
        <v>YouTube</v>
      </c>
      <c r="H357" s="3">
        <f>IFERROR(__xludf.DUMMYFUNCTION("""COMPUTED_VALUE"""),2.0221204E7)</f>
        <v>20221204</v>
      </c>
      <c r="I357" s="3" t="str">
        <f>IFERROR(__xludf.DUMMYFUNCTION("""COMPUTED_VALUE"""),"Visitrajasthan")</f>
        <v>Visitrajasthan</v>
      </c>
      <c r="J357" s="3">
        <f>IFERROR(__xludf.DUMMYFUNCTION("""COMPUTED_VALUE"""),4564.0)</f>
        <v>4564</v>
      </c>
      <c r="K357" s="3" t="str">
        <f t="shared" ref="K357:L357" si="361">TRIM(F357)</f>
        <v>VfS</v>
      </c>
      <c r="L357" s="3" t="str">
        <f t="shared" si="361"/>
        <v>YouTube</v>
      </c>
      <c r="M357" s="3" t="str">
        <f t="shared" si="3"/>
        <v>Youtube</v>
      </c>
      <c r="N357" s="3" t="str">
        <f>IFERROR(__xludf.DUMMYFUNCTION("SPLIT(M357,""&amp;"")"),"Youtube")</f>
        <v>Youtube</v>
      </c>
      <c r="O357" s="3" t="str">
        <f t="shared" si="4"/>
        <v>Youtube</v>
      </c>
      <c r="P357" s="3" t="str">
        <f t="shared" si="5"/>
        <v>Visitrajasthan</v>
      </c>
      <c r="Q357" s="3" t="str">
        <f t="shared" si="6"/>
        <v>Visitrajasthan</v>
      </c>
      <c r="R357" s="3">
        <f t="shared" si="7"/>
        <v>4564</v>
      </c>
    </row>
    <row r="358">
      <c r="A358" s="7" t="s">
        <v>123</v>
      </c>
      <c r="B358" s="8" t="s">
        <v>20</v>
      </c>
      <c r="C358" s="8">
        <v>71000.0</v>
      </c>
      <c r="E358" s="3" t="str">
        <f>IFERROR(__xludf.DUMMYFUNCTION("SPLIT(A358,""|"")")," NEFT/Instagram/20221207/visitudaipur/4565 ")</f>
        <v> NEFT/Instagram/20221207/visitudaipur/4565 </v>
      </c>
      <c r="F358" s="3" t="str">
        <f>IFERROR(__xludf.DUMMYFUNCTION("SPLIT(E358,""/"")")," NEFT")</f>
        <v> NEFT</v>
      </c>
      <c r="G358" s="3" t="str">
        <f>IFERROR(__xludf.DUMMYFUNCTION("""COMPUTED_VALUE"""),"Instagram")</f>
        <v>Instagram</v>
      </c>
      <c r="H358" s="3">
        <f>IFERROR(__xludf.DUMMYFUNCTION("""COMPUTED_VALUE"""),2.0221207E7)</f>
        <v>20221207</v>
      </c>
      <c r="I358" s="3" t="str">
        <f>IFERROR(__xludf.DUMMYFUNCTION("""COMPUTED_VALUE"""),"visitudaipur")</f>
        <v>visitudaipur</v>
      </c>
      <c r="J358" s="3">
        <f>IFERROR(__xludf.DUMMYFUNCTION("""COMPUTED_VALUE"""),4565.0)</f>
        <v>4565</v>
      </c>
      <c r="K358" s="3" t="str">
        <f t="shared" ref="K358:L358" si="362">TRIM(F358)</f>
        <v>NEFT</v>
      </c>
      <c r="L358" s="3" t="str">
        <f t="shared" si="362"/>
        <v>Instagram</v>
      </c>
      <c r="M358" s="3" t="str">
        <f t="shared" si="3"/>
        <v>Instagram</v>
      </c>
      <c r="N358" s="3" t="str">
        <f>IFERROR(__xludf.DUMMYFUNCTION("SPLIT(M358,""&amp;"")"),"Instagram")</f>
        <v>Instagram</v>
      </c>
      <c r="O358" s="3" t="str">
        <f t="shared" si="4"/>
        <v>Instagram</v>
      </c>
      <c r="P358" s="3" t="str">
        <f t="shared" si="5"/>
        <v>visitudaipur</v>
      </c>
      <c r="Q358" s="3" t="str">
        <f t="shared" si="6"/>
        <v>Visitudaipur</v>
      </c>
      <c r="R358" s="3">
        <f t="shared" si="7"/>
        <v>4565</v>
      </c>
    </row>
    <row r="359">
      <c r="A359" s="7" t="s">
        <v>124</v>
      </c>
      <c r="B359" s="8" t="s">
        <v>20</v>
      </c>
      <c r="C359" s="8">
        <v>55000.0</v>
      </c>
      <c r="E359" s="3" t="str">
        <f>IFERROR(__xludf.DUMMYFUNCTION("SPLIT(A359,""|"")")," CHQ/Offline &amp;/20221210/Visitjodhpur/4566 ")</f>
        <v> CHQ/Offline &amp;/20221210/Visitjodhpur/4566 </v>
      </c>
      <c r="F359" s="3" t="str">
        <f>IFERROR(__xludf.DUMMYFUNCTION("SPLIT(E359,""/"")")," CHQ")</f>
        <v> CHQ</v>
      </c>
      <c r="G359" s="3" t="str">
        <f>IFERROR(__xludf.DUMMYFUNCTION("""COMPUTED_VALUE"""),"Offline &amp;")</f>
        <v>Offline &amp;</v>
      </c>
      <c r="H359" s="3">
        <f>IFERROR(__xludf.DUMMYFUNCTION("""COMPUTED_VALUE"""),2.022121E7)</f>
        <v>20221210</v>
      </c>
      <c r="I359" s="3" t="str">
        <f>IFERROR(__xludf.DUMMYFUNCTION("""COMPUTED_VALUE"""),"Visitjodhpur")</f>
        <v>Visitjodhpur</v>
      </c>
      <c r="J359" s="3">
        <f>IFERROR(__xludf.DUMMYFUNCTION("""COMPUTED_VALUE"""),4566.0)</f>
        <v>4566</v>
      </c>
      <c r="K359" s="3" t="str">
        <f t="shared" ref="K359:L359" si="363">TRIM(F359)</f>
        <v>CHQ</v>
      </c>
      <c r="L359" s="3" t="str">
        <f t="shared" si="363"/>
        <v>Offline &amp;</v>
      </c>
      <c r="M359" s="3" t="str">
        <f t="shared" si="3"/>
        <v>Offline &amp;</v>
      </c>
      <c r="N359" s="3" t="str">
        <f>IFERROR(__xludf.DUMMYFUNCTION("SPLIT(M359,""&amp;"")"),"Offline ")</f>
        <v>Offline </v>
      </c>
      <c r="O359" s="3" t="str">
        <f t="shared" si="4"/>
        <v>Offline</v>
      </c>
      <c r="P359" s="3" t="str">
        <f t="shared" si="5"/>
        <v>Visitjodhpur</v>
      </c>
      <c r="Q359" s="3" t="str">
        <f t="shared" si="6"/>
        <v>Visitjodhpur</v>
      </c>
      <c r="R359" s="3">
        <f t="shared" si="7"/>
        <v>4566</v>
      </c>
    </row>
    <row r="360">
      <c r="A360" s="7" t="s">
        <v>125</v>
      </c>
      <c r="B360" s="8" t="s">
        <v>20</v>
      </c>
      <c r="C360" s="8">
        <v>62600.0</v>
      </c>
      <c r="E360" s="3" t="str">
        <f>IFERROR(__xludf.DUMMYFUNCTION("SPLIT(A360,""|"")")," VfS/Google Ads/20221213/visitJaisalmer/3455 ")</f>
        <v> VfS/Google Ads/20221213/visitJaisalmer/3455 </v>
      </c>
      <c r="F360" s="3" t="str">
        <f>IFERROR(__xludf.DUMMYFUNCTION("SPLIT(E360,""/"")")," VfS")</f>
        <v> VfS</v>
      </c>
      <c r="G360" s="3" t="str">
        <f>IFERROR(__xludf.DUMMYFUNCTION("""COMPUTED_VALUE"""),"Google Ads")</f>
        <v>Google Ads</v>
      </c>
      <c r="H360" s="3">
        <f>IFERROR(__xludf.DUMMYFUNCTION("""COMPUTED_VALUE"""),2.0221213E7)</f>
        <v>20221213</v>
      </c>
      <c r="I360" s="3" t="str">
        <f>IFERROR(__xludf.DUMMYFUNCTION("""COMPUTED_VALUE"""),"visitJaisalmer")</f>
        <v>visitJaisalmer</v>
      </c>
      <c r="J360" s="3">
        <f>IFERROR(__xludf.DUMMYFUNCTION("""COMPUTED_VALUE"""),3455.0)</f>
        <v>3455</v>
      </c>
      <c r="K360" s="3" t="str">
        <f t="shared" ref="K360:L360" si="364">TRIM(F360)</f>
        <v>VfS</v>
      </c>
      <c r="L360" s="3" t="str">
        <f t="shared" si="364"/>
        <v>Google Ads</v>
      </c>
      <c r="M360" s="3" t="str">
        <f t="shared" si="3"/>
        <v>Google Ads</v>
      </c>
      <c r="N360" s="3" t="str">
        <f>IFERROR(__xludf.DUMMYFUNCTION("SPLIT(M360,""&amp;"")"),"Google Ads")</f>
        <v>Google Ads</v>
      </c>
      <c r="O360" s="3" t="str">
        <f t="shared" si="4"/>
        <v>Google Ads</v>
      </c>
      <c r="P360" s="3" t="str">
        <f t="shared" si="5"/>
        <v>visitJaisalmer</v>
      </c>
      <c r="Q360" s="3" t="str">
        <f t="shared" si="6"/>
        <v>Visitjaisalmer</v>
      </c>
      <c r="R360" s="3">
        <f t="shared" si="7"/>
        <v>3455</v>
      </c>
    </row>
    <row r="361">
      <c r="A361" s="7" t="s">
        <v>126</v>
      </c>
      <c r="B361" s="8" t="s">
        <v>20</v>
      </c>
      <c r="C361" s="8">
        <v>95300.0</v>
      </c>
      <c r="E361" s="3" t="str">
        <f>IFERROR(__xludf.DUMMYFUNCTION("SPLIT(A361,""|"")")," VIN/TwiTter/20221216/visitbikaner/5666 ")</f>
        <v> VIN/TwiTter/20221216/visitbikaner/5666 </v>
      </c>
      <c r="F361" s="3" t="str">
        <f>IFERROR(__xludf.DUMMYFUNCTION("SPLIT(E361,""/"")")," VIN")</f>
        <v> VIN</v>
      </c>
      <c r="G361" s="3" t="str">
        <f>IFERROR(__xludf.DUMMYFUNCTION("""COMPUTED_VALUE"""),"TwiTter")</f>
        <v>TwiTter</v>
      </c>
      <c r="H361" s="3">
        <f>IFERROR(__xludf.DUMMYFUNCTION("""COMPUTED_VALUE"""),2.0221216E7)</f>
        <v>20221216</v>
      </c>
      <c r="I361" s="3" t="str">
        <f>IFERROR(__xludf.DUMMYFUNCTION("""COMPUTED_VALUE"""),"visitbikaner")</f>
        <v>visitbikaner</v>
      </c>
      <c r="J361" s="3">
        <f>IFERROR(__xludf.DUMMYFUNCTION("""COMPUTED_VALUE"""),5666.0)</f>
        <v>5666</v>
      </c>
      <c r="K361" s="3" t="str">
        <f t="shared" ref="K361:L361" si="365">TRIM(F361)</f>
        <v>VIN</v>
      </c>
      <c r="L361" s="3" t="str">
        <f t="shared" si="365"/>
        <v>TwiTter</v>
      </c>
      <c r="M361" s="3" t="str">
        <f t="shared" si="3"/>
        <v>Twitter</v>
      </c>
      <c r="N361" s="3" t="str">
        <f>IFERROR(__xludf.DUMMYFUNCTION("SPLIT(M361,""&amp;"")"),"Twitter")</f>
        <v>Twitter</v>
      </c>
      <c r="O361" s="3" t="str">
        <f t="shared" si="4"/>
        <v>Twitter</v>
      </c>
      <c r="P361" s="3" t="str">
        <f t="shared" si="5"/>
        <v>visitbikaner</v>
      </c>
      <c r="Q361" s="3" t="str">
        <f t="shared" si="6"/>
        <v>Visitbikaner</v>
      </c>
      <c r="R361" s="3">
        <f t="shared" si="7"/>
        <v>5666</v>
      </c>
    </row>
    <row r="362">
      <c r="A362" s="7" t="s">
        <v>127</v>
      </c>
      <c r="B362" s="8" t="s">
        <v>20</v>
      </c>
      <c r="C362" s="8">
        <v>17900.0</v>
      </c>
      <c r="E362" s="3" t="str">
        <f>IFERROR(__xludf.DUMMYFUNCTION("SPLIT(A362,""|"")")," NEFT/Facebook/20221219/Visitjaipur/5676 ")</f>
        <v> NEFT/Facebook/20221219/Visitjaipur/5676 </v>
      </c>
      <c r="F362" s="3" t="str">
        <f>IFERROR(__xludf.DUMMYFUNCTION("SPLIT(E362,""/"")")," NEFT")</f>
        <v> NEFT</v>
      </c>
      <c r="G362" s="3" t="str">
        <f>IFERROR(__xludf.DUMMYFUNCTION("""COMPUTED_VALUE"""),"Facebook")</f>
        <v>Facebook</v>
      </c>
      <c r="H362" s="3">
        <f>IFERROR(__xludf.DUMMYFUNCTION("""COMPUTED_VALUE"""),2.0221219E7)</f>
        <v>20221219</v>
      </c>
      <c r="I362" s="3" t="str">
        <f>IFERROR(__xludf.DUMMYFUNCTION("""COMPUTED_VALUE"""),"Visitjaipur")</f>
        <v>Visitjaipur</v>
      </c>
      <c r="J362" s="3">
        <f>IFERROR(__xludf.DUMMYFUNCTION("""COMPUTED_VALUE"""),5676.0)</f>
        <v>5676</v>
      </c>
      <c r="K362" s="3" t="str">
        <f t="shared" ref="K362:L362" si="366">TRIM(F362)</f>
        <v>NEFT</v>
      </c>
      <c r="L362" s="3" t="str">
        <f t="shared" si="366"/>
        <v>Facebook</v>
      </c>
      <c r="M362" s="3" t="str">
        <f t="shared" si="3"/>
        <v>Facebook</v>
      </c>
      <c r="N362" s="3" t="str">
        <f>IFERROR(__xludf.DUMMYFUNCTION("SPLIT(M362,""&amp;"")"),"Facebook")</f>
        <v>Facebook</v>
      </c>
      <c r="O362" s="3" t="str">
        <f t="shared" si="4"/>
        <v>Facebook</v>
      </c>
      <c r="P362" s="3" t="str">
        <f t="shared" si="5"/>
        <v>Visitjaipur</v>
      </c>
      <c r="Q362" s="3" t="str">
        <f t="shared" si="6"/>
        <v>Visitjaipur</v>
      </c>
      <c r="R362" s="3">
        <f t="shared" si="7"/>
        <v>5676</v>
      </c>
    </row>
    <row r="363">
      <c r="A363" s="7" t="s">
        <v>128</v>
      </c>
      <c r="B363" s="8" t="s">
        <v>20</v>
      </c>
      <c r="C363" s="8">
        <v>69100.0</v>
      </c>
      <c r="E363" s="3" t="str">
        <f>IFERROR(__xludf.DUMMYFUNCTION("SPLIT(A363,""|"")")," CHQ/YouTube &amp;/20221222/Visitrajasthan/4564 ")</f>
        <v> CHQ/YouTube &amp;/20221222/Visitrajasthan/4564 </v>
      </c>
      <c r="F363" s="3" t="str">
        <f>IFERROR(__xludf.DUMMYFUNCTION("SPLIT(E363,""/"")")," CHQ")</f>
        <v> CHQ</v>
      </c>
      <c r="G363" s="3" t="str">
        <f>IFERROR(__xludf.DUMMYFUNCTION("""COMPUTED_VALUE"""),"YouTube &amp;")</f>
        <v>YouTube &amp;</v>
      </c>
      <c r="H363" s="3">
        <f>IFERROR(__xludf.DUMMYFUNCTION("""COMPUTED_VALUE"""),2.0221222E7)</f>
        <v>20221222</v>
      </c>
      <c r="I363" s="3" t="str">
        <f>IFERROR(__xludf.DUMMYFUNCTION("""COMPUTED_VALUE"""),"Visitrajasthan")</f>
        <v>Visitrajasthan</v>
      </c>
      <c r="J363" s="3">
        <f>IFERROR(__xludf.DUMMYFUNCTION("""COMPUTED_VALUE"""),4564.0)</f>
        <v>4564</v>
      </c>
      <c r="K363" s="3" t="str">
        <f t="shared" ref="K363:L363" si="367">TRIM(F363)</f>
        <v>CHQ</v>
      </c>
      <c r="L363" s="3" t="str">
        <f t="shared" si="367"/>
        <v>YouTube &amp;</v>
      </c>
      <c r="M363" s="3" t="str">
        <f t="shared" si="3"/>
        <v>Youtube &amp;</v>
      </c>
      <c r="N363" s="3" t="str">
        <f>IFERROR(__xludf.DUMMYFUNCTION("SPLIT(M363,""&amp;"")"),"Youtube ")</f>
        <v>Youtube </v>
      </c>
      <c r="O363" s="3" t="str">
        <f t="shared" si="4"/>
        <v>Youtube</v>
      </c>
      <c r="P363" s="3" t="str">
        <f t="shared" si="5"/>
        <v>Visitrajasthan</v>
      </c>
      <c r="Q363" s="3" t="str">
        <f t="shared" si="6"/>
        <v>Visitrajasthan</v>
      </c>
      <c r="R363" s="3">
        <f t="shared" si="7"/>
        <v>4564</v>
      </c>
    </row>
    <row r="364">
      <c r="A364" s="7" t="s">
        <v>129</v>
      </c>
      <c r="B364" s="8" t="s">
        <v>20</v>
      </c>
      <c r="C364" s="8">
        <v>75100.0</v>
      </c>
      <c r="E364" s="3" t="str">
        <f>IFERROR(__xludf.DUMMYFUNCTION("SPLIT(A364,""|"")")," VfS/Instagram/20221225/visitudaipur/4565 ")</f>
        <v> VfS/Instagram/20221225/visitudaipur/4565 </v>
      </c>
      <c r="F364" s="3" t="str">
        <f>IFERROR(__xludf.DUMMYFUNCTION("SPLIT(E364,""/"")")," VfS")</f>
        <v> VfS</v>
      </c>
      <c r="G364" s="3" t="str">
        <f>IFERROR(__xludf.DUMMYFUNCTION("""COMPUTED_VALUE"""),"Instagram")</f>
        <v>Instagram</v>
      </c>
      <c r="H364" s="3">
        <f>IFERROR(__xludf.DUMMYFUNCTION("""COMPUTED_VALUE"""),2.0221225E7)</f>
        <v>20221225</v>
      </c>
      <c r="I364" s="3" t="str">
        <f>IFERROR(__xludf.DUMMYFUNCTION("""COMPUTED_VALUE"""),"visitudaipur")</f>
        <v>visitudaipur</v>
      </c>
      <c r="J364" s="3">
        <f>IFERROR(__xludf.DUMMYFUNCTION("""COMPUTED_VALUE"""),4565.0)</f>
        <v>4565</v>
      </c>
      <c r="K364" s="3" t="str">
        <f t="shared" ref="K364:L364" si="368">TRIM(F364)</f>
        <v>VfS</v>
      </c>
      <c r="L364" s="3" t="str">
        <f t="shared" si="368"/>
        <v>Instagram</v>
      </c>
      <c r="M364" s="3" t="str">
        <f t="shared" si="3"/>
        <v>Instagram</v>
      </c>
      <c r="N364" s="3" t="str">
        <f>IFERROR(__xludf.DUMMYFUNCTION("SPLIT(M364,""&amp;"")"),"Instagram")</f>
        <v>Instagram</v>
      </c>
      <c r="O364" s="3" t="str">
        <f t="shared" si="4"/>
        <v>Instagram</v>
      </c>
      <c r="P364" s="3" t="str">
        <f t="shared" si="5"/>
        <v>visitudaipur</v>
      </c>
      <c r="Q364" s="3" t="str">
        <f t="shared" si="6"/>
        <v>Visitudaipur</v>
      </c>
      <c r="R364" s="3">
        <f t="shared" si="7"/>
        <v>4565</v>
      </c>
    </row>
    <row r="365">
      <c r="A365" s="7" t="s">
        <v>130</v>
      </c>
      <c r="B365" s="8" t="s">
        <v>20</v>
      </c>
      <c r="C365" s="8">
        <v>91100.0</v>
      </c>
      <c r="E365" s="3" t="str">
        <f>IFERROR(__xludf.DUMMYFUNCTION("SPLIT(A365,""|"")")," VIN/OfflINe &amp;/20221228/Visitjodhpur/4566 ")</f>
        <v> VIN/OfflINe &amp;/20221228/Visitjodhpur/4566 </v>
      </c>
      <c r="F365" s="3" t="str">
        <f>IFERROR(__xludf.DUMMYFUNCTION("SPLIT(E365,""/"")")," VIN")</f>
        <v> VIN</v>
      </c>
      <c r="G365" s="3" t="str">
        <f>IFERROR(__xludf.DUMMYFUNCTION("""COMPUTED_VALUE"""),"OfflINe &amp;")</f>
        <v>OfflINe &amp;</v>
      </c>
      <c r="H365" s="3">
        <f>IFERROR(__xludf.DUMMYFUNCTION("""COMPUTED_VALUE"""),2.0221228E7)</f>
        <v>20221228</v>
      </c>
      <c r="I365" s="3" t="str">
        <f>IFERROR(__xludf.DUMMYFUNCTION("""COMPUTED_VALUE"""),"Visitjodhpur")</f>
        <v>Visitjodhpur</v>
      </c>
      <c r="J365" s="3">
        <f>IFERROR(__xludf.DUMMYFUNCTION("""COMPUTED_VALUE"""),4566.0)</f>
        <v>4566</v>
      </c>
      <c r="K365" s="3" t="str">
        <f t="shared" ref="K365:L365" si="369">TRIM(F365)</f>
        <v>VIN</v>
      </c>
      <c r="L365" s="3" t="str">
        <f t="shared" si="369"/>
        <v>OfflINe &amp;</v>
      </c>
      <c r="M365" s="3" t="str">
        <f t="shared" si="3"/>
        <v>Offline &amp;</v>
      </c>
      <c r="N365" s="3" t="str">
        <f>IFERROR(__xludf.DUMMYFUNCTION("SPLIT(M365,""&amp;"")"),"Offline ")</f>
        <v>Offline </v>
      </c>
      <c r="O365" s="3" t="str">
        <f t="shared" si="4"/>
        <v>Offline</v>
      </c>
      <c r="P365" s="3" t="str">
        <f t="shared" si="5"/>
        <v>Visitjodhpur</v>
      </c>
      <c r="Q365" s="3" t="str">
        <f t="shared" si="6"/>
        <v>Visitjodhpur</v>
      </c>
      <c r="R365" s="3">
        <f t="shared" si="7"/>
        <v>4566</v>
      </c>
    </row>
    <row r="366">
      <c r="A366" s="7" t="s">
        <v>131</v>
      </c>
      <c r="B366" s="8" t="s">
        <v>6</v>
      </c>
      <c r="C366" s="8">
        <v>99600.0</v>
      </c>
      <c r="E366" s="3" t="str">
        <f>IFERROR(__xludf.DUMMYFUNCTION("SPLIT(A366,""|"")")," CHQ/Facebook/20221001/Visitjaipur/5676 ")</f>
        <v> CHQ/Facebook/20221001/Visitjaipur/5676 </v>
      </c>
      <c r="F366" s="3" t="str">
        <f>IFERROR(__xludf.DUMMYFUNCTION("SPLIT(E366,""/"")")," CHQ")</f>
        <v> CHQ</v>
      </c>
      <c r="G366" s="3" t="str">
        <f>IFERROR(__xludf.DUMMYFUNCTION("""COMPUTED_VALUE"""),"Facebook")</f>
        <v>Facebook</v>
      </c>
      <c r="H366" s="3">
        <f>IFERROR(__xludf.DUMMYFUNCTION("""COMPUTED_VALUE"""),2.0221001E7)</f>
        <v>20221001</v>
      </c>
      <c r="I366" s="3" t="str">
        <f>IFERROR(__xludf.DUMMYFUNCTION("""COMPUTED_VALUE"""),"Visitjaipur")</f>
        <v>Visitjaipur</v>
      </c>
      <c r="J366" s="3">
        <f>IFERROR(__xludf.DUMMYFUNCTION("""COMPUTED_VALUE"""),5676.0)</f>
        <v>5676</v>
      </c>
      <c r="K366" s="3" t="str">
        <f t="shared" ref="K366:L366" si="370">TRIM(F366)</f>
        <v>CHQ</v>
      </c>
      <c r="L366" s="3" t="str">
        <f t="shared" si="370"/>
        <v>Facebook</v>
      </c>
      <c r="M366" s="3" t="str">
        <f t="shared" si="3"/>
        <v>Facebook</v>
      </c>
      <c r="N366" s="3" t="str">
        <f>IFERROR(__xludf.DUMMYFUNCTION("SPLIT(M366,""&amp;"")"),"Facebook")</f>
        <v>Facebook</v>
      </c>
      <c r="O366" s="3" t="str">
        <f t="shared" si="4"/>
        <v>Facebook</v>
      </c>
      <c r="P366" s="3" t="str">
        <f t="shared" si="5"/>
        <v>Visitjaipur</v>
      </c>
      <c r="Q366" s="3" t="str">
        <f t="shared" si="6"/>
        <v>Visitjaipur</v>
      </c>
      <c r="R366" s="3">
        <f t="shared" si="7"/>
        <v>5676</v>
      </c>
    </row>
    <row r="367">
      <c r="A367" s="7" t="s">
        <v>132</v>
      </c>
      <c r="B367" s="8" t="s">
        <v>6</v>
      </c>
      <c r="C367" s="8">
        <v>84500.0</v>
      </c>
      <c r="E367" s="3" t="str">
        <f>IFERROR(__xludf.DUMMYFUNCTION("SPLIT(A367,""|"")")," VfS/YouTube/20221004/Visitrajasthan/4564 ")</f>
        <v> VfS/YouTube/20221004/Visitrajasthan/4564 </v>
      </c>
      <c r="F367" s="3" t="str">
        <f>IFERROR(__xludf.DUMMYFUNCTION("SPLIT(E367,""/"")")," VfS")</f>
        <v> VfS</v>
      </c>
      <c r="G367" s="3" t="str">
        <f>IFERROR(__xludf.DUMMYFUNCTION("""COMPUTED_VALUE"""),"YouTube")</f>
        <v>YouTube</v>
      </c>
      <c r="H367" s="3">
        <f>IFERROR(__xludf.DUMMYFUNCTION("""COMPUTED_VALUE"""),2.0221004E7)</f>
        <v>20221004</v>
      </c>
      <c r="I367" s="3" t="str">
        <f>IFERROR(__xludf.DUMMYFUNCTION("""COMPUTED_VALUE"""),"Visitrajasthan")</f>
        <v>Visitrajasthan</v>
      </c>
      <c r="J367" s="3">
        <f>IFERROR(__xludf.DUMMYFUNCTION("""COMPUTED_VALUE"""),4564.0)</f>
        <v>4564</v>
      </c>
      <c r="K367" s="3" t="str">
        <f t="shared" ref="K367:L367" si="371">TRIM(F367)</f>
        <v>VfS</v>
      </c>
      <c r="L367" s="3" t="str">
        <f t="shared" si="371"/>
        <v>YouTube</v>
      </c>
      <c r="M367" s="3" t="str">
        <f t="shared" si="3"/>
        <v>Youtube</v>
      </c>
      <c r="N367" s="3" t="str">
        <f>IFERROR(__xludf.DUMMYFUNCTION("SPLIT(M367,""&amp;"")"),"Youtube")</f>
        <v>Youtube</v>
      </c>
      <c r="O367" s="3" t="str">
        <f t="shared" si="4"/>
        <v>Youtube</v>
      </c>
      <c r="P367" s="3" t="str">
        <f t="shared" si="5"/>
        <v>Visitrajasthan</v>
      </c>
      <c r="Q367" s="3" t="str">
        <f t="shared" si="6"/>
        <v>Visitrajasthan</v>
      </c>
      <c r="R367" s="3">
        <f t="shared" si="7"/>
        <v>4564</v>
      </c>
    </row>
    <row r="368">
      <c r="A368" s="7" t="s">
        <v>133</v>
      </c>
      <c r="B368" s="8" t="s">
        <v>6</v>
      </c>
      <c r="C368" s="8">
        <v>90500.0</v>
      </c>
      <c r="E368" s="3" t="str">
        <f>IFERROR(__xludf.DUMMYFUNCTION("SPLIT(A368,""|"")")," NEFT/Instagram/20221007/visitudaipur/4565 ")</f>
        <v> NEFT/Instagram/20221007/visitudaipur/4565 </v>
      </c>
      <c r="F368" s="3" t="str">
        <f>IFERROR(__xludf.DUMMYFUNCTION("SPLIT(E368,""/"")")," NEFT")</f>
        <v> NEFT</v>
      </c>
      <c r="G368" s="3" t="str">
        <f>IFERROR(__xludf.DUMMYFUNCTION("""COMPUTED_VALUE"""),"Instagram")</f>
        <v>Instagram</v>
      </c>
      <c r="H368" s="3">
        <f>IFERROR(__xludf.DUMMYFUNCTION("""COMPUTED_VALUE"""),2.0221007E7)</f>
        <v>20221007</v>
      </c>
      <c r="I368" s="3" t="str">
        <f>IFERROR(__xludf.DUMMYFUNCTION("""COMPUTED_VALUE"""),"visitudaipur")</f>
        <v>visitudaipur</v>
      </c>
      <c r="J368" s="3">
        <f>IFERROR(__xludf.DUMMYFUNCTION("""COMPUTED_VALUE"""),4565.0)</f>
        <v>4565</v>
      </c>
      <c r="K368" s="3" t="str">
        <f t="shared" ref="K368:L368" si="372">TRIM(F368)</f>
        <v>NEFT</v>
      </c>
      <c r="L368" s="3" t="str">
        <f t="shared" si="372"/>
        <v>Instagram</v>
      </c>
      <c r="M368" s="3" t="str">
        <f t="shared" si="3"/>
        <v>Instagram</v>
      </c>
      <c r="N368" s="3" t="str">
        <f>IFERROR(__xludf.DUMMYFUNCTION("SPLIT(M368,""&amp;"")"),"Instagram")</f>
        <v>Instagram</v>
      </c>
      <c r="O368" s="3" t="str">
        <f t="shared" si="4"/>
        <v>Instagram</v>
      </c>
      <c r="P368" s="3" t="str">
        <f t="shared" si="5"/>
        <v>visitudaipur</v>
      </c>
      <c r="Q368" s="3" t="str">
        <f t="shared" si="6"/>
        <v>Visitudaipur</v>
      </c>
      <c r="R368" s="3">
        <f t="shared" si="7"/>
        <v>4565</v>
      </c>
    </row>
    <row r="369">
      <c r="A369" s="7" t="s">
        <v>134</v>
      </c>
      <c r="B369" s="8" t="s">
        <v>6</v>
      </c>
      <c r="C369" s="8">
        <v>80400.0</v>
      </c>
      <c r="E369" s="3" t="str">
        <f>IFERROR(__xludf.DUMMYFUNCTION("SPLIT(A369,""|"")")," CHQ/Offline &amp;/20221010/Visitjodhpur/4566 ")</f>
        <v> CHQ/Offline &amp;/20221010/Visitjodhpur/4566 </v>
      </c>
      <c r="F369" s="3" t="str">
        <f>IFERROR(__xludf.DUMMYFUNCTION("SPLIT(E369,""/"")")," CHQ")</f>
        <v> CHQ</v>
      </c>
      <c r="G369" s="3" t="str">
        <f>IFERROR(__xludf.DUMMYFUNCTION("""COMPUTED_VALUE"""),"Offline &amp;")</f>
        <v>Offline &amp;</v>
      </c>
      <c r="H369" s="3">
        <f>IFERROR(__xludf.DUMMYFUNCTION("""COMPUTED_VALUE"""),2.022101E7)</f>
        <v>20221010</v>
      </c>
      <c r="I369" s="3" t="str">
        <f>IFERROR(__xludf.DUMMYFUNCTION("""COMPUTED_VALUE"""),"Visitjodhpur")</f>
        <v>Visitjodhpur</v>
      </c>
      <c r="J369" s="3">
        <f>IFERROR(__xludf.DUMMYFUNCTION("""COMPUTED_VALUE"""),4566.0)</f>
        <v>4566</v>
      </c>
      <c r="K369" s="3" t="str">
        <f t="shared" ref="K369:L369" si="373">TRIM(F369)</f>
        <v>CHQ</v>
      </c>
      <c r="L369" s="3" t="str">
        <f t="shared" si="373"/>
        <v>Offline &amp;</v>
      </c>
      <c r="M369" s="3" t="str">
        <f t="shared" si="3"/>
        <v>Offline &amp;</v>
      </c>
      <c r="N369" s="3" t="str">
        <f>IFERROR(__xludf.DUMMYFUNCTION("SPLIT(M369,""&amp;"")"),"Offline ")</f>
        <v>Offline </v>
      </c>
      <c r="O369" s="3" t="str">
        <f t="shared" si="4"/>
        <v>Offline</v>
      </c>
      <c r="P369" s="3" t="str">
        <f t="shared" si="5"/>
        <v>Visitjodhpur</v>
      </c>
      <c r="Q369" s="3" t="str">
        <f t="shared" si="6"/>
        <v>Visitjodhpur</v>
      </c>
      <c r="R369" s="3">
        <f t="shared" si="7"/>
        <v>4566</v>
      </c>
    </row>
    <row r="370">
      <c r="A370" s="7" t="s">
        <v>151</v>
      </c>
      <c r="B370" s="8" t="s">
        <v>6</v>
      </c>
      <c r="C370" s="8">
        <v>30000.0</v>
      </c>
      <c r="E370" s="3" t="str">
        <f>IFERROR(__xludf.DUMMYFUNCTION("SPLIT(A370,""|"")")," VfS/Google Ads/20221013/visitJaisalmer/3455 ")</f>
        <v> VfS/Google Ads/20221013/visitJaisalmer/3455 </v>
      </c>
      <c r="F370" s="3" t="str">
        <f>IFERROR(__xludf.DUMMYFUNCTION("SPLIT(E370,""/"")")," VfS")</f>
        <v> VfS</v>
      </c>
      <c r="G370" s="3" t="str">
        <f>IFERROR(__xludf.DUMMYFUNCTION("""COMPUTED_VALUE"""),"Google Ads")</f>
        <v>Google Ads</v>
      </c>
      <c r="H370" s="3">
        <f>IFERROR(__xludf.DUMMYFUNCTION("""COMPUTED_VALUE"""),2.0221013E7)</f>
        <v>20221013</v>
      </c>
      <c r="I370" s="3" t="str">
        <f>IFERROR(__xludf.DUMMYFUNCTION("""COMPUTED_VALUE"""),"visitJaisalmer")</f>
        <v>visitJaisalmer</v>
      </c>
      <c r="J370" s="3">
        <f>IFERROR(__xludf.DUMMYFUNCTION("""COMPUTED_VALUE"""),3455.0)</f>
        <v>3455</v>
      </c>
      <c r="K370" s="3" t="str">
        <f t="shared" ref="K370:L370" si="374">TRIM(F370)</f>
        <v>VfS</v>
      </c>
      <c r="L370" s="3" t="str">
        <f t="shared" si="374"/>
        <v>Google Ads</v>
      </c>
      <c r="M370" s="3" t="str">
        <f t="shared" si="3"/>
        <v>Google Ads</v>
      </c>
      <c r="N370" s="3" t="str">
        <f>IFERROR(__xludf.DUMMYFUNCTION("SPLIT(M370,""&amp;"")"),"Google Ads")</f>
        <v>Google Ads</v>
      </c>
      <c r="O370" s="3" t="str">
        <f t="shared" si="4"/>
        <v>Google Ads</v>
      </c>
      <c r="P370" s="3" t="str">
        <f t="shared" si="5"/>
        <v>visitJaisalmer</v>
      </c>
      <c r="Q370" s="3" t="str">
        <f t="shared" si="6"/>
        <v>Visitjaisalmer</v>
      </c>
      <c r="R370" s="3">
        <f t="shared" si="7"/>
        <v>3455</v>
      </c>
    </row>
    <row r="371">
      <c r="A371" s="7" t="s">
        <v>136</v>
      </c>
      <c r="B371" s="8" t="s">
        <v>6</v>
      </c>
      <c r="C371" s="8">
        <v>44700.0</v>
      </c>
      <c r="E371" s="3" t="str">
        <f>IFERROR(__xludf.DUMMYFUNCTION("SPLIT(A371,""|"")")," VIN/TwiTter/20221016/visitbikaner/5666 ")</f>
        <v> VIN/TwiTter/20221016/visitbikaner/5666 </v>
      </c>
      <c r="F371" s="3" t="str">
        <f>IFERROR(__xludf.DUMMYFUNCTION("SPLIT(E371,""/"")")," VIN")</f>
        <v> VIN</v>
      </c>
      <c r="G371" s="3" t="str">
        <f>IFERROR(__xludf.DUMMYFUNCTION("""COMPUTED_VALUE"""),"TwiTter")</f>
        <v>TwiTter</v>
      </c>
      <c r="H371" s="3">
        <f>IFERROR(__xludf.DUMMYFUNCTION("""COMPUTED_VALUE"""),2.0221016E7)</f>
        <v>20221016</v>
      </c>
      <c r="I371" s="3" t="str">
        <f>IFERROR(__xludf.DUMMYFUNCTION("""COMPUTED_VALUE"""),"visitbikaner")</f>
        <v>visitbikaner</v>
      </c>
      <c r="J371" s="3">
        <f>IFERROR(__xludf.DUMMYFUNCTION("""COMPUTED_VALUE"""),5666.0)</f>
        <v>5666</v>
      </c>
      <c r="K371" s="3" t="str">
        <f t="shared" ref="K371:L371" si="375">TRIM(F371)</f>
        <v>VIN</v>
      </c>
      <c r="L371" s="3" t="str">
        <f t="shared" si="375"/>
        <v>TwiTter</v>
      </c>
      <c r="M371" s="3" t="str">
        <f t="shared" si="3"/>
        <v>Twitter</v>
      </c>
      <c r="N371" s="3" t="str">
        <f>IFERROR(__xludf.DUMMYFUNCTION("SPLIT(M371,""&amp;"")"),"Twitter")</f>
        <v>Twitter</v>
      </c>
      <c r="O371" s="3" t="str">
        <f t="shared" si="4"/>
        <v>Twitter</v>
      </c>
      <c r="P371" s="3" t="str">
        <f t="shared" si="5"/>
        <v>visitbikaner</v>
      </c>
      <c r="Q371" s="3" t="str">
        <f t="shared" si="6"/>
        <v>Visitbikaner</v>
      </c>
      <c r="R371" s="3">
        <f t="shared" si="7"/>
        <v>5666</v>
      </c>
    </row>
    <row r="372">
      <c r="A372" s="7" t="s">
        <v>137</v>
      </c>
      <c r="B372" s="8" t="s">
        <v>6</v>
      </c>
      <c r="C372" s="8">
        <v>57800.0</v>
      </c>
      <c r="E372" s="3" t="str">
        <f>IFERROR(__xludf.DUMMYFUNCTION("SPLIT(A372,""|"")")," NEFT/Facebook/20221019/Visitjaipur/5676 ")</f>
        <v> NEFT/Facebook/20221019/Visitjaipur/5676 </v>
      </c>
      <c r="F372" s="3" t="str">
        <f>IFERROR(__xludf.DUMMYFUNCTION("SPLIT(E372,""/"")")," NEFT")</f>
        <v> NEFT</v>
      </c>
      <c r="G372" s="3" t="str">
        <f>IFERROR(__xludf.DUMMYFUNCTION("""COMPUTED_VALUE"""),"Facebook")</f>
        <v>Facebook</v>
      </c>
      <c r="H372" s="3">
        <f>IFERROR(__xludf.DUMMYFUNCTION("""COMPUTED_VALUE"""),2.0221019E7)</f>
        <v>20221019</v>
      </c>
      <c r="I372" s="3" t="str">
        <f>IFERROR(__xludf.DUMMYFUNCTION("""COMPUTED_VALUE"""),"Visitjaipur")</f>
        <v>Visitjaipur</v>
      </c>
      <c r="J372" s="3">
        <f>IFERROR(__xludf.DUMMYFUNCTION("""COMPUTED_VALUE"""),5676.0)</f>
        <v>5676</v>
      </c>
      <c r="K372" s="3" t="str">
        <f t="shared" ref="K372:L372" si="376">TRIM(F372)</f>
        <v>NEFT</v>
      </c>
      <c r="L372" s="3" t="str">
        <f t="shared" si="376"/>
        <v>Facebook</v>
      </c>
      <c r="M372" s="3" t="str">
        <f t="shared" si="3"/>
        <v>Facebook</v>
      </c>
      <c r="N372" s="3" t="str">
        <f>IFERROR(__xludf.DUMMYFUNCTION("SPLIT(M372,""&amp;"")"),"Facebook")</f>
        <v>Facebook</v>
      </c>
      <c r="O372" s="3" t="str">
        <f t="shared" si="4"/>
        <v>Facebook</v>
      </c>
      <c r="P372" s="3" t="str">
        <f t="shared" si="5"/>
        <v>Visitjaipur</v>
      </c>
      <c r="Q372" s="3" t="str">
        <f t="shared" si="6"/>
        <v>Visitjaipur</v>
      </c>
      <c r="R372" s="3">
        <f t="shared" si="7"/>
        <v>5676</v>
      </c>
    </row>
    <row r="373">
      <c r="A373" s="7" t="s">
        <v>138</v>
      </c>
      <c r="B373" s="8" t="s">
        <v>6</v>
      </c>
      <c r="C373" s="8">
        <v>78700.0</v>
      </c>
      <c r="E373" s="3" t="str">
        <f>IFERROR(__xludf.DUMMYFUNCTION("SPLIT(A373,""|"")")," CHQ/YouTube &amp;/20221022/Visitrajasthan/4564 ")</f>
        <v> CHQ/YouTube &amp;/20221022/Visitrajasthan/4564 </v>
      </c>
      <c r="F373" s="3" t="str">
        <f>IFERROR(__xludf.DUMMYFUNCTION("SPLIT(E373,""/"")")," CHQ")</f>
        <v> CHQ</v>
      </c>
      <c r="G373" s="3" t="str">
        <f>IFERROR(__xludf.DUMMYFUNCTION("""COMPUTED_VALUE"""),"YouTube &amp;")</f>
        <v>YouTube &amp;</v>
      </c>
      <c r="H373" s="3">
        <f>IFERROR(__xludf.DUMMYFUNCTION("""COMPUTED_VALUE"""),2.0221022E7)</f>
        <v>20221022</v>
      </c>
      <c r="I373" s="3" t="str">
        <f>IFERROR(__xludf.DUMMYFUNCTION("""COMPUTED_VALUE"""),"Visitrajasthan")</f>
        <v>Visitrajasthan</v>
      </c>
      <c r="J373" s="3">
        <f>IFERROR(__xludf.DUMMYFUNCTION("""COMPUTED_VALUE"""),4564.0)</f>
        <v>4564</v>
      </c>
      <c r="K373" s="3" t="str">
        <f t="shared" ref="K373:L373" si="377">TRIM(F373)</f>
        <v>CHQ</v>
      </c>
      <c r="L373" s="3" t="str">
        <f t="shared" si="377"/>
        <v>YouTube &amp;</v>
      </c>
      <c r="M373" s="3" t="str">
        <f t="shared" si="3"/>
        <v>Youtube &amp;</v>
      </c>
      <c r="N373" s="3" t="str">
        <f>IFERROR(__xludf.DUMMYFUNCTION("SPLIT(M373,""&amp;"")"),"Youtube ")</f>
        <v>Youtube </v>
      </c>
      <c r="O373" s="3" t="str">
        <f t="shared" si="4"/>
        <v>Youtube</v>
      </c>
      <c r="P373" s="3" t="str">
        <f t="shared" si="5"/>
        <v>Visitrajasthan</v>
      </c>
      <c r="Q373" s="3" t="str">
        <f t="shared" si="6"/>
        <v>Visitrajasthan</v>
      </c>
      <c r="R373" s="3">
        <f t="shared" si="7"/>
        <v>4564</v>
      </c>
    </row>
    <row r="374">
      <c r="A374" s="7" t="s">
        <v>139</v>
      </c>
      <c r="B374" s="8" t="s">
        <v>6</v>
      </c>
      <c r="C374" s="8">
        <v>15000.0</v>
      </c>
      <c r="E374" s="3" t="str">
        <f>IFERROR(__xludf.DUMMYFUNCTION("SPLIT(A374,""|"")")," VfS/Instagram/20221025/visitudaipur/4565 ")</f>
        <v> VfS/Instagram/20221025/visitudaipur/4565 </v>
      </c>
      <c r="F374" s="3" t="str">
        <f>IFERROR(__xludf.DUMMYFUNCTION("SPLIT(E374,""/"")")," VfS")</f>
        <v> VfS</v>
      </c>
      <c r="G374" s="3" t="str">
        <f>IFERROR(__xludf.DUMMYFUNCTION("""COMPUTED_VALUE"""),"Instagram")</f>
        <v>Instagram</v>
      </c>
      <c r="H374" s="3">
        <f>IFERROR(__xludf.DUMMYFUNCTION("""COMPUTED_VALUE"""),2.0221025E7)</f>
        <v>20221025</v>
      </c>
      <c r="I374" s="3" t="str">
        <f>IFERROR(__xludf.DUMMYFUNCTION("""COMPUTED_VALUE"""),"visitudaipur")</f>
        <v>visitudaipur</v>
      </c>
      <c r="J374" s="3">
        <f>IFERROR(__xludf.DUMMYFUNCTION("""COMPUTED_VALUE"""),4565.0)</f>
        <v>4565</v>
      </c>
      <c r="K374" s="3" t="str">
        <f t="shared" ref="K374:L374" si="378">TRIM(F374)</f>
        <v>VfS</v>
      </c>
      <c r="L374" s="3" t="str">
        <f t="shared" si="378"/>
        <v>Instagram</v>
      </c>
      <c r="M374" s="3" t="str">
        <f t="shared" si="3"/>
        <v>Instagram</v>
      </c>
      <c r="N374" s="3" t="str">
        <f>IFERROR(__xludf.DUMMYFUNCTION("SPLIT(M374,""&amp;"")"),"Instagram")</f>
        <v>Instagram</v>
      </c>
      <c r="O374" s="3" t="str">
        <f t="shared" si="4"/>
        <v>Instagram</v>
      </c>
      <c r="P374" s="3" t="str">
        <f t="shared" si="5"/>
        <v>visitudaipur</v>
      </c>
      <c r="Q374" s="3" t="str">
        <f t="shared" si="6"/>
        <v>Visitudaipur</v>
      </c>
      <c r="R374" s="3">
        <f t="shared" si="7"/>
        <v>4565</v>
      </c>
    </row>
    <row r="375">
      <c r="A375" s="7" t="s">
        <v>140</v>
      </c>
      <c r="B375" s="8" t="s">
        <v>6</v>
      </c>
      <c r="C375" s="8">
        <v>55900.0</v>
      </c>
      <c r="E375" s="3" t="str">
        <f>IFERROR(__xludf.DUMMYFUNCTION("SPLIT(A375,""|"")")," VIN/OfflINe &amp;/20221028/Visitjodhpur/4566 ")</f>
        <v> VIN/OfflINe &amp;/20221028/Visitjodhpur/4566 </v>
      </c>
      <c r="F375" s="3" t="str">
        <f>IFERROR(__xludf.DUMMYFUNCTION("SPLIT(E375,""/"")")," VIN")</f>
        <v> VIN</v>
      </c>
      <c r="G375" s="3" t="str">
        <f>IFERROR(__xludf.DUMMYFUNCTION("""COMPUTED_VALUE"""),"OfflINe &amp;")</f>
        <v>OfflINe &amp;</v>
      </c>
      <c r="H375" s="3">
        <f>IFERROR(__xludf.DUMMYFUNCTION("""COMPUTED_VALUE"""),2.0221028E7)</f>
        <v>20221028</v>
      </c>
      <c r="I375" s="3" t="str">
        <f>IFERROR(__xludf.DUMMYFUNCTION("""COMPUTED_VALUE"""),"Visitjodhpur")</f>
        <v>Visitjodhpur</v>
      </c>
      <c r="J375" s="3">
        <f>IFERROR(__xludf.DUMMYFUNCTION("""COMPUTED_VALUE"""),4566.0)</f>
        <v>4566</v>
      </c>
      <c r="K375" s="3" t="str">
        <f t="shared" ref="K375:L375" si="379">TRIM(F375)</f>
        <v>VIN</v>
      </c>
      <c r="L375" s="3" t="str">
        <f t="shared" si="379"/>
        <v>OfflINe &amp;</v>
      </c>
      <c r="M375" s="3" t="str">
        <f t="shared" si="3"/>
        <v>Offline &amp;</v>
      </c>
      <c r="N375" s="3" t="str">
        <f>IFERROR(__xludf.DUMMYFUNCTION("SPLIT(M375,""&amp;"")"),"Offline ")</f>
        <v>Offline </v>
      </c>
      <c r="O375" s="3" t="str">
        <f t="shared" si="4"/>
        <v>Offline</v>
      </c>
      <c r="P375" s="3" t="str">
        <f t="shared" si="5"/>
        <v>Visitjodhpur</v>
      </c>
      <c r="Q375" s="3" t="str">
        <f t="shared" si="6"/>
        <v>Visitjodhpur</v>
      </c>
      <c r="R375" s="3">
        <f t="shared" si="7"/>
        <v>4566</v>
      </c>
    </row>
    <row r="376">
      <c r="A376" s="7" t="s">
        <v>141</v>
      </c>
      <c r="B376" s="8" t="s">
        <v>19</v>
      </c>
      <c r="C376" s="8">
        <v>39500.0</v>
      </c>
      <c r="E376" s="3" t="str">
        <f>IFERROR(__xludf.DUMMYFUNCTION("SPLIT(A376,""|"")")," CHQ/Facebook/20221101/Visitjaipur/5676 ")</f>
        <v> CHQ/Facebook/20221101/Visitjaipur/5676 </v>
      </c>
      <c r="F376" s="3" t="str">
        <f>IFERROR(__xludf.DUMMYFUNCTION("SPLIT(E376,""/"")")," CHQ")</f>
        <v> CHQ</v>
      </c>
      <c r="G376" s="3" t="str">
        <f>IFERROR(__xludf.DUMMYFUNCTION("""COMPUTED_VALUE"""),"Facebook")</f>
        <v>Facebook</v>
      </c>
      <c r="H376" s="3">
        <f>IFERROR(__xludf.DUMMYFUNCTION("""COMPUTED_VALUE"""),2.0221101E7)</f>
        <v>20221101</v>
      </c>
      <c r="I376" s="3" t="str">
        <f>IFERROR(__xludf.DUMMYFUNCTION("""COMPUTED_VALUE"""),"Visitjaipur")</f>
        <v>Visitjaipur</v>
      </c>
      <c r="J376" s="3">
        <f>IFERROR(__xludf.DUMMYFUNCTION("""COMPUTED_VALUE"""),5676.0)</f>
        <v>5676</v>
      </c>
      <c r="K376" s="3" t="str">
        <f t="shared" ref="K376:L376" si="380">TRIM(F376)</f>
        <v>CHQ</v>
      </c>
      <c r="L376" s="3" t="str">
        <f t="shared" si="380"/>
        <v>Facebook</v>
      </c>
      <c r="M376" s="3" t="str">
        <f t="shared" si="3"/>
        <v>Facebook</v>
      </c>
      <c r="N376" s="3" t="str">
        <f>IFERROR(__xludf.DUMMYFUNCTION("SPLIT(M376,""&amp;"")"),"Facebook")</f>
        <v>Facebook</v>
      </c>
      <c r="O376" s="3" t="str">
        <f t="shared" si="4"/>
        <v>Facebook</v>
      </c>
      <c r="P376" s="3" t="str">
        <f t="shared" si="5"/>
        <v>Visitjaipur</v>
      </c>
      <c r="Q376" s="3" t="str">
        <f t="shared" si="6"/>
        <v>Visitjaipur</v>
      </c>
      <c r="R376" s="3">
        <f t="shared" si="7"/>
        <v>5676</v>
      </c>
    </row>
    <row r="377">
      <c r="A377" s="7" t="s">
        <v>142</v>
      </c>
      <c r="B377" s="8" t="s">
        <v>19</v>
      </c>
      <c r="C377" s="8">
        <v>16000.0</v>
      </c>
      <c r="E377" s="3" t="str">
        <f>IFERROR(__xludf.DUMMYFUNCTION("SPLIT(A377,""|"")")," VfS/YouTube/20221104/Visitrajasthan/4564 ")</f>
        <v> VfS/YouTube/20221104/Visitrajasthan/4564 </v>
      </c>
      <c r="F377" s="3" t="str">
        <f>IFERROR(__xludf.DUMMYFUNCTION("SPLIT(E377,""/"")")," VfS")</f>
        <v> VfS</v>
      </c>
      <c r="G377" s="3" t="str">
        <f>IFERROR(__xludf.DUMMYFUNCTION("""COMPUTED_VALUE"""),"YouTube")</f>
        <v>YouTube</v>
      </c>
      <c r="H377" s="3">
        <f>IFERROR(__xludf.DUMMYFUNCTION("""COMPUTED_VALUE"""),2.0221104E7)</f>
        <v>20221104</v>
      </c>
      <c r="I377" s="3" t="str">
        <f>IFERROR(__xludf.DUMMYFUNCTION("""COMPUTED_VALUE"""),"Visitrajasthan")</f>
        <v>Visitrajasthan</v>
      </c>
      <c r="J377" s="3">
        <f>IFERROR(__xludf.DUMMYFUNCTION("""COMPUTED_VALUE"""),4564.0)</f>
        <v>4564</v>
      </c>
      <c r="K377" s="3" t="str">
        <f t="shared" ref="K377:L377" si="381">TRIM(F377)</f>
        <v>VfS</v>
      </c>
      <c r="L377" s="3" t="str">
        <f t="shared" si="381"/>
        <v>YouTube</v>
      </c>
      <c r="M377" s="3" t="str">
        <f t="shared" si="3"/>
        <v>Youtube</v>
      </c>
      <c r="N377" s="3" t="str">
        <f>IFERROR(__xludf.DUMMYFUNCTION("SPLIT(M377,""&amp;"")"),"Youtube")</f>
        <v>Youtube</v>
      </c>
      <c r="O377" s="3" t="str">
        <f t="shared" si="4"/>
        <v>Youtube</v>
      </c>
      <c r="P377" s="3" t="str">
        <f t="shared" si="5"/>
        <v>Visitrajasthan</v>
      </c>
      <c r="Q377" s="3" t="str">
        <f t="shared" si="6"/>
        <v>Visitrajasthan</v>
      </c>
      <c r="R377" s="3">
        <f t="shared" si="7"/>
        <v>4564</v>
      </c>
    </row>
    <row r="378">
      <c r="A378" s="7" t="s">
        <v>143</v>
      </c>
      <c r="B378" s="8" t="s">
        <v>19</v>
      </c>
      <c r="C378" s="8">
        <v>47700.0</v>
      </c>
      <c r="E378" s="3" t="str">
        <f>IFERROR(__xludf.DUMMYFUNCTION("SPLIT(A378,""|"")")," NEFT/Instagram/20221107/visitudaipur/4565 ")</f>
        <v> NEFT/Instagram/20221107/visitudaipur/4565 </v>
      </c>
      <c r="F378" s="3" t="str">
        <f>IFERROR(__xludf.DUMMYFUNCTION("SPLIT(E378,""/"")")," NEFT")</f>
        <v> NEFT</v>
      </c>
      <c r="G378" s="3" t="str">
        <f>IFERROR(__xludf.DUMMYFUNCTION("""COMPUTED_VALUE"""),"Instagram")</f>
        <v>Instagram</v>
      </c>
      <c r="H378" s="3">
        <f>IFERROR(__xludf.DUMMYFUNCTION("""COMPUTED_VALUE"""),2.0221107E7)</f>
        <v>20221107</v>
      </c>
      <c r="I378" s="3" t="str">
        <f>IFERROR(__xludf.DUMMYFUNCTION("""COMPUTED_VALUE"""),"visitudaipur")</f>
        <v>visitudaipur</v>
      </c>
      <c r="J378" s="3">
        <f>IFERROR(__xludf.DUMMYFUNCTION("""COMPUTED_VALUE"""),4565.0)</f>
        <v>4565</v>
      </c>
      <c r="K378" s="3" t="str">
        <f t="shared" ref="K378:L378" si="382">TRIM(F378)</f>
        <v>NEFT</v>
      </c>
      <c r="L378" s="3" t="str">
        <f t="shared" si="382"/>
        <v>Instagram</v>
      </c>
      <c r="M378" s="3" t="str">
        <f t="shared" si="3"/>
        <v>Instagram</v>
      </c>
      <c r="N378" s="3" t="str">
        <f>IFERROR(__xludf.DUMMYFUNCTION("SPLIT(M378,""&amp;"")"),"Instagram")</f>
        <v>Instagram</v>
      </c>
      <c r="O378" s="3" t="str">
        <f t="shared" si="4"/>
        <v>Instagram</v>
      </c>
      <c r="P378" s="3" t="str">
        <f t="shared" si="5"/>
        <v>visitudaipur</v>
      </c>
      <c r="Q378" s="3" t="str">
        <f t="shared" si="6"/>
        <v>Visitudaipur</v>
      </c>
      <c r="R378" s="3">
        <f t="shared" si="7"/>
        <v>4565</v>
      </c>
    </row>
    <row r="379">
      <c r="A379" s="7" t="s">
        <v>144</v>
      </c>
      <c r="B379" s="8" t="s">
        <v>19</v>
      </c>
      <c r="C379" s="8">
        <v>36000.0</v>
      </c>
      <c r="E379" s="3" t="str">
        <f>IFERROR(__xludf.DUMMYFUNCTION("SPLIT(A379,""|"")")," CHQ/Offline &amp;/20221110/Visitjodhpur/4566 ")</f>
        <v> CHQ/Offline &amp;/20221110/Visitjodhpur/4566 </v>
      </c>
      <c r="F379" s="3" t="str">
        <f>IFERROR(__xludf.DUMMYFUNCTION("SPLIT(E379,""/"")")," CHQ")</f>
        <v> CHQ</v>
      </c>
      <c r="G379" s="3" t="str">
        <f>IFERROR(__xludf.DUMMYFUNCTION("""COMPUTED_VALUE"""),"Offline &amp;")</f>
        <v>Offline &amp;</v>
      </c>
      <c r="H379" s="3">
        <f>IFERROR(__xludf.DUMMYFUNCTION("""COMPUTED_VALUE"""),2.022111E7)</f>
        <v>20221110</v>
      </c>
      <c r="I379" s="3" t="str">
        <f>IFERROR(__xludf.DUMMYFUNCTION("""COMPUTED_VALUE"""),"Visitjodhpur")</f>
        <v>Visitjodhpur</v>
      </c>
      <c r="J379" s="3">
        <f>IFERROR(__xludf.DUMMYFUNCTION("""COMPUTED_VALUE"""),4566.0)</f>
        <v>4566</v>
      </c>
      <c r="K379" s="3" t="str">
        <f t="shared" ref="K379:L379" si="383">TRIM(F379)</f>
        <v>CHQ</v>
      </c>
      <c r="L379" s="3" t="str">
        <f t="shared" si="383"/>
        <v>Offline &amp;</v>
      </c>
      <c r="M379" s="3" t="str">
        <f t="shared" si="3"/>
        <v>Offline &amp;</v>
      </c>
      <c r="N379" s="3" t="str">
        <f>IFERROR(__xludf.DUMMYFUNCTION("SPLIT(M379,""&amp;"")"),"Offline ")</f>
        <v>Offline </v>
      </c>
      <c r="O379" s="3" t="str">
        <f t="shared" si="4"/>
        <v>Offline</v>
      </c>
      <c r="P379" s="3" t="str">
        <f t="shared" si="5"/>
        <v>Visitjodhpur</v>
      </c>
      <c r="Q379" s="3" t="str">
        <f t="shared" si="6"/>
        <v>Visitjodhpur</v>
      </c>
      <c r="R379" s="3">
        <f t="shared" si="7"/>
        <v>4566</v>
      </c>
    </row>
    <row r="380">
      <c r="A380" s="7" t="s">
        <v>145</v>
      </c>
      <c r="B380" s="8" t="s">
        <v>19</v>
      </c>
      <c r="C380" s="8">
        <v>65400.0</v>
      </c>
      <c r="E380" s="3" t="str">
        <f>IFERROR(__xludf.DUMMYFUNCTION("SPLIT(A380,""|"")")," VfS/Google Ads/20221113/visitJaisalmer/3455 ")</f>
        <v> VfS/Google Ads/20221113/visitJaisalmer/3455 </v>
      </c>
      <c r="F380" s="3" t="str">
        <f>IFERROR(__xludf.DUMMYFUNCTION("SPLIT(E380,""/"")")," VfS")</f>
        <v> VfS</v>
      </c>
      <c r="G380" s="3" t="str">
        <f>IFERROR(__xludf.DUMMYFUNCTION("""COMPUTED_VALUE"""),"Google Ads")</f>
        <v>Google Ads</v>
      </c>
      <c r="H380" s="3">
        <f>IFERROR(__xludf.DUMMYFUNCTION("""COMPUTED_VALUE"""),2.0221113E7)</f>
        <v>20221113</v>
      </c>
      <c r="I380" s="3" t="str">
        <f>IFERROR(__xludf.DUMMYFUNCTION("""COMPUTED_VALUE"""),"visitJaisalmer")</f>
        <v>visitJaisalmer</v>
      </c>
      <c r="J380" s="3">
        <f>IFERROR(__xludf.DUMMYFUNCTION("""COMPUTED_VALUE"""),3455.0)</f>
        <v>3455</v>
      </c>
      <c r="K380" s="3" t="str">
        <f t="shared" ref="K380:L380" si="384">TRIM(F380)</f>
        <v>VfS</v>
      </c>
      <c r="L380" s="3" t="str">
        <f t="shared" si="384"/>
        <v>Google Ads</v>
      </c>
      <c r="M380" s="3" t="str">
        <f t="shared" si="3"/>
        <v>Google Ads</v>
      </c>
      <c r="N380" s="3" t="str">
        <f>IFERROR(__xludf.DUMMYFUNCTION("SPLIT(M380,""&amp;"")"),"Google Ads")</f>
        <v>Google Ads</v>
      </c>
      <c r="O380" s="3" t="str">
        <f t="shared" si="4"/>
        <v>Google Ads</v>
      </c>
      <c r="P380" s="3" t="str">
        <f t="shared" si="5"/>
        <v>visitJaisalmer</v>
      </c>
      <c r="Q380" s="3" t="str">
        <f t="shared" si="6"/>
        <v>Visitjaisalmer</v>
      </c>
      <c r="R380" s="3">
        <f t="shared" si="7"/>
        <v>3455</v>
      </c>
    </row>
    <row r="381">
      <c r="A381" s="7" t="s">
        <v>146</v>
      </c>
      <c r="B381" s="8" t="s">
        <v>19</v>
      </c>
      <c r="C381" s="8">
        <v>82800.0</v>
      </c>
      <c r="E381" s="3" t="str">
        <f>IFERROR(__xludf.DUMMYFUNCTION("SPLIT(A381,""|"")")," VIN/TwiTter/20221116/visitbikaner/5666 ")</f>
        <v> VIN/TwiTter/20221116/visitbikaner/5666 </v>
      </c>
      <c r="F381" s="3" t="str">
        <f>IFERROR(__xludf.DUMMYFUNCTION("SPLIT(E381,""/"")")," VIN")</f>
        <v> VIN</v>
      </c>
      <c r="G381" s="3" t="str">
        <f>IFERROR(__xludf.DUMMYFUNCTION("""COMPUTED_VALUE"""),"TwiTter")</f>
        <v>TwiTter</v>
      </c>
      <c r="H381" s="3">
        <f>IFERROR(__xludf.DUMMYFUNCTION("""COMPUTED_VALUE"""),2.0221116E7)</f>
        <v>20221116</v>
      </c>
      <c r="I381" s="3" t="str">
        <f>IFERROR(__xludf.DUMMYFUNCTION("""COMPUTED_VALUE"""),"visitbikaner")</f>
        <v>visitbikaner</v>
      </c>
      <c r="J381" s="3">
        <f>IFERROR(__xludf.DUMMYFUNCTION("""COMPUTED_VALUE"""),5666.0)</f>
        <v>5666</v>
      </c>
      <c r="K381" s="3" t="str">
        <f t="shared" ref="K381:L381" si="385">TRIM(F381)</f>
        <v>VIN</v>
      </c>
      <c r="L381" s="3" t="str">
        <f t="shared" si="385"/>
        <v>TwiTter</v>
      </c>
      <c r="M381" s="3" t="str">
        <f t="shared" si="3"/>
        <v>Twitter</v>
      </c>
      <c r="N381" s="3" t="str">
        <f>IFERROR(__xludf.DUMMYFUNCTION("SPLIT(M381,""&amp;"")"),"Twitter")</f>
        <v>Twitter</v>
      </c>
      <c r="O381" s="3" t="str">
        <f t="shared" si="4"/>
        <v>Twitter</v>
      </c>
      <c r="P381" s="3" t="str">
        <f t="shared" si="5"/>
        <v>visitbikaner</v>
      </c>
      <c r="Q381" s="3" t="str">
        <f t="shared" si="6"/>
        <v>Visitbikaner</v>
      </c>
      <c r="R381" s="3">
        <f t="shared" si="7"/>
        <v>5666</v>
      </c>
    </row>
    <row r="382">
      <c r="A382" s="7" t="s">
        <v>147</v>
      </c>
      <c r="B382" s="8" t="s">
        <v>19</v>
      </c>
      <c r="C382" s="8">
        <v>56200.0</v>
      </c>
      <c r="E382" s="3" t="str">
        <f>IFERROR(__xludf.DUMMYFUNCTION("SPLIT(A382,""|"")")," NEFT/Facebook/20221119/Visitjaipur/5676 ")</f>
        <v> NEFT/Facebook/20221119/Visitjaipur/5676 </v>
      </c>
      <c r="F382" s="3" t="str">
        <f>IFERROR(__xludf.DUMMYFUNCTION("SPLIT(E382,""/"")")," NEFT")</f>
        <v> NEFT</v>
      </c>
      <c r="G382" s="3" t="str">
        <f>IFERROR(__xludf.DUMMYFUNCTION("""COMPUTED_VALUE"""),"Facebook")</f>
        <v>Facebook</v>
      </c>
      <c r="H382" s="3">
        <f>IFERROR(__xludf.DUMMYFUNCTION("""COMPUTED_VALUE"""),2.0221119E7)</f>
        <v>20221119</v>
      </c>
      <c r="I382" s="3" t="str">
        <f>IFERROR(__xludf.DUMMYFUNCTION("""COMPUTED_VALUE"""),"Visitjaipur")</f>
        <v>Visitjaipur</v>
      </c>
      <c r="J382" s="3">
        <f>IFERROR(__xludf.DUMMYFUNCTION("""COMPUTED_VALUE"""),5676.0)</f>
        <v>5676</v>
      </c>
      <c r="K382" s="3" t="str">
        <f t="shared" ref="K382:L382" si="386">TRIM(F382)</f>
        <v>NEFT</v>
      </c>
      <c r="L382" s="3" t="str">
        <f t="shared" si="386"/>
        <v>Facebook</v>
      </c>
      <c r="M382" s="3" t="str">
        <f t="shared" si="3"/>
        <v>Facebook</v>
      </c>
      <c r="N382" s="3" t="str">
        <f>IFERROR(__xludf.DUMMYFUNCTION("SPLIT(M382,""&amp;"")"),"Facebook")</f>
        <v>Facebook</v>
      </c>
      <c r="O382" s="3" t="str">
        <f t="shared" si="4"/>
        <v>Facebook</v>
      </c>
      <c r="P382" s="3" t="str">
        <f t="shared" si="5"/>
        <v>Visitjaipur</v>
      </c>
      <c r="Q382" s="3" t="str">
        <f t="shared" si="6"/>
        <v>Visitjaipur</v>
      </c>
      <c r="R382" s="3">
        <f t="shared" si="7"/>
        <v>5676</v>
      </c>
    </row>
    <row r="383">
      <c r="A383" s="7" t="s">
        <v>148</v>
      </c>
      <c r="B383" s="8" t="s">
        <v>19</v>
      </c>
      <c r="C383" s="8">
        <v>17600.0</v>
      </c>
      <c r="E383" s="3" t="str">
        <f>IFERROR(__xludf.DUMMYFUNCTION("SPLIT(A383,""|"")")," CHQ/YouTube &amp;/20221122/Visitrajasthan/4564 ")</f>
        <v> CHQ/YouTube &amp;/20221122/Visitrajasthan/4564 </v>
      </c>
      <c r="F383" s="3" t="str">
        <f>IFERROR(__xludf.DUMMYFUNCTION("SPLIT(E383,""/"")")," CHQ")</f>
        <v> CHQ</v>
      </c>
      <c r="G383" s="3" t="str">
        <f>IFERROR(__xludf.DUMMYFUNCTION("""COMPUTED_VALUE"""),"YouTube &amp;")</f>
        <v>YouTube &amp;</v>
      </c>
      <c r="H383" s="3">
        <f>IFERROR(__xludf.DUMMYFUNCTION("""COMPUTED_VALUE"""),2.0221122E7)</f>
        <v>20221122</v>
      </c>
      <c r="I383" s="3" t="str">
        <f>IFERROR(__xludf.DUMMYFUNCTION("""COMPUTED_VALUE"""),"Visitrajasthan")</f>
        <v>Visitrajasthan</v>
      </c>
      <c r="J383" s="3">
        <f>IFERROR(__xludf.DUMMYFUNCTION("""COMPUTED_VALUE"""),4564.0)</f>
        <v>4564</v>
      </c>
      <c r="K383" s="3" t="str">
        <f t="shared" ref="K383:L383" si="387">TRIM(F383)</f>
        <v>CHQ</v>
      </c>
      <c r="L383" s="3" t="str">
        <f t="shared" si="387"/>
        <v>YouTube &amp;</v>
      </c>
      <c r="M383" s="3" t="str">
        <f t="shared" si="3"/>
        <v>Youtube &amp;</v>
      </c>
      <c r="N383" s="3" t="str">
        <f>IFERROR(__xludf.DUMMYFUNCTION("SPLIT(M383,""&amp;"")"),"Youtube ")</f>
        <v>Youtube </v>
      </c>
      <c r="O383" s="3" t="str">
        <f t="shared" si="4"/>
        <v>Youtube</v>
      </c>
      <c r="P383" s="3" t="str">
        <f t="shared" si="5"/>
        <v>Visitrajasthan</v>
      </c>
      <c r="Q383" s="3" t="str">
        <f t="shared" si="6"/>
        <v>Visitrajasthan</v>
      </c>
      <c r="R383" s="3">
        <f t="shared" si="7"/>
        <v>4564</v>
      </c>
    </row>
    <row r="384">
      <c r="A384" s="7" t="s">
        <v>149</v>
      </c>
      <c r="B384" s="8" t="s">
        <v>19</v>
      </c>
      <c r="C384" s="8">
        <v>60300.0</v>
      </c>
      <c r="E384" s="3" t="str">
        <f>IFERROR(__xludf.DUMMYFUNCTION("SPLIT(A384,""|"")")," VfS/Instagram/20221125/visitudaipur/4565 ")</f>
        <v> VfS/Instagram/20221125/visitudaipur/4565 </v>
      </c>
      <c r="F384" s="3" t="str">
        <f>IFERROR(__xludf.DUMMYFUNCTION("SPLIT(E384,""/"")")," VfS")</f>
        <v> VfS</v>
      </c>
      <c r="G384" s="3" t="str">
        <f>IFERROR(__xludf.DUMMYFUNCTION("""COMPUTED_VALUE"""),"Instagram")</f>
        <v>Instagram</v>
      </c>
      <c r="H384" s="3">
        <f>IFERROR(__xludf.DUMMYFUNCTION("""COMPUTED_VALUE"""),2.0221125E7)</f>
        <v>20221125</v>
      </c>
      <c r="I384" s="3" t="str">
        <f>IFERROR(__xludf.DUMMYFUNCTION("""COMPUTED_VALUE"""),"visitudaipur")</f>
        <v>visitudaipur</v>
      </c>
      <c r="J384" s="3">
        <f>IFERROR(__xludf.DUMMYFUNCTION("""COMPUTED_VALUE"""),4565.0)</f>
        <v>4565</v>
      </c>
      <c r="K384" s="3" t="str">
        <f t="shared" ref="K384:L384" si="388">TRIM(F384)</f>
        <v>VfS</v>
      </c>
      <c r="L384" s="3" t="str">
        <f t="shared" si="388"/>
        <v>Instagram</v>
      </c>
      <c r="M384" s="3" t="str">
        <f t="shared" si="3"/>
        <v>Instagram</v>
      </c>
      <c r="N384" s="3" t="str">
        <f>IFERROR(__xludf.DUMMYFUNCTION("SPLIT(M384,""&amp;"")"),"Instagram")</f>
        <v>Instagram</v>
      </c>
      <c r="O384" s="3" t="str">
        <f t="shared" si="4"/>
        <v>Instagram</v>
      </c>
      <c r="P384" s="3" t="str">
        <f t="shared" si="5"/>
        <v>visitudaipur</v>
      </c>
      <c r="Q384" s="3" t="str">
        <f t="shared" si="6"/>
        <v>Visitudaipur</v>
      </c>
      <c r="R384" s="3">
        <f t="shared" si="7"/>
        <v>4565</v>
      </c>
    </row>
    <row r="385">
      <c r="A385" s="7" t="s">
        <v>150</v>
      </c>
      <c r="B385" s="8" t="s">
        <v>19</v>
      </c>
      <c r="C385" s="8">
        <v>74200.0</v>
      </c>
      <c r="E385" s="3" t="str">
        <f>IFERROR(__xludf.DUMMYFUNCTION("SPLIT(A385,""|"")")," VIN/OfflINe &amp;/20221128/Visitjodhpur/4566 ")</f>
        <v> VIN/OfflINe &amp;/20221128/Visitjodhpur/4566 </v>
      </c>
      <c r="F385" s="3" t="str">
        <f>IFERROR(__xludf.DUMMYFUNCTION("SPLIT(E385,""/"")")," VIN")</f>
        <v> VIN</v>
      </c>
      <c r="G385" s="3" t="str">
        <f>IFERROR(__xludf.DUMMYFUNCTION("""COMPUTED_VALUE"""),"OfflINe &amp;")</f>
        <v>OfflINe &amp;</v>
      </c>
      <c r="H385" s="3">
        <f>IFERROR(__xludf.DUMMYFUNCTION("""COMPUTED_VALUE"""),2.0221128E7)</f>
        <v>20221128</v>
      </c>
      <c r="I385" s="3" t="str">
        <f>IFERROR(__xludf.DUMMYFUNCTION("""COMPUTED_VALUE"""),"Visitjodhpur")</f>
        <v>Visitjodhpur</v>
      </c>
      <c r="J385" s="3">
        <f>IFERROR(__xludf.DUMMYFUNCTION("""COMPUTED_VALUE"""),4566.0)</f>
        <v>4566</v>
      </c>
      <c r="K385" s="3" t="str">
        <f t="shared" ref="K385:L385" si="389">TRIM(F385)</f>
        <v>VIN</v>
      </c>
      <c r="L385" s="3" t="str">
        <f t="shared" si="389"/>
        <v>OfflINe &amp;</v>
      </c>
      <c r="M385" s="3" t="str">
        <f t="shared" si="3"/>
        <v>Offline &amp;</v>
      </c>
      <c r="N385" s="3" t="str">
        <f>IFERROR(__xludf.DUMMYFUNCTION("SPLIT(M385,""&amp;"")"),"Offline ")</f>
        <v>Offline </v>
      </c>
      <c r="O385" s="3" t="str">
        <f t="shared" si="4"/>
        <v>Offline</v>
      </c>
      <c r="P385" s="3" t="str">
        <f t="shared" si="5"/>
        <v>Visitjodhpur</v>
      </c>
      <c r="Q385" s="3" t="str">
        <f t="shared" si="6"/>
        <v>Visitjodhpur</v>
      </c>
      <c r="R385" s="3">
        <f t="shared" si="7"/>
        <v>4566</v>
      </c>
    </row>
    <row r="386">
      <c r="A386" s="7" t="s">
        <v>121</v>
      </c>
      <c r="B386" s="8" t="s">
        <v>20</v>
      </c>
      <c r="C386" s="8">
        <v>11000.0</v>
      </c>
      <c r="E386" s="3" t="str">
        <f>IFERROR(__xludf.DUMMYFUNCTION("SPLIT(A386,""|"")")," CHQ/Facebook/20221201/Visitjaipur/5676 ")</f>
        <v> CHQ/Facebook/20221201/Visitjaipur/5676 </v>
      </c>
      <c r="F386" s="3" t="str">
        <f>IFERROR(__xludf.DUMMYFUNCTION("SPLIT(E386,""/"")")," CHQ")</f>
        <v> CHQ</v>
      </c>
      <c r="G386" s="3" t="str">
        <f>IFERROR(__xludf.DUMMYFUNCTION("""COMPUTED_VALUE"""),"Facebook")</f>
        <v>Facebook</v>
      </c>
      <c r="H386" s="3">
        <f>IFERROR(__xludf.DUMMYFUNCTION("""COMPUTED_VALUE"""),2.0221201E7)</f>
        <v>20221201</v>
      </c>
      <c r="I386" s="3" t="str">
        <f>IFERROR(__xludf.DUMMYFUNCTION("""COMPUTED_VALUE"""),"Visitjaipur")</f>
        <v>Visitjaipur</v>
      </c>
      <c r="J386" s="3">
        <f>IFERROR(__xludf.DUMMYFUNCTION("""COMPUTED_VALUE"""),5676.0)</f>
        <v>5676</v>
      </c>
      <c r="K386" s="3" t="str">
        <f t="shared" ref="K386:L386" si="390">TRIM(F386)</f>
        <v>CHQ</v>
      </c>
      <c r="L386" s="3" t="str">
        <f t="shared" si="390"/>
        <v>Facebook</v>
      </c>
      <c r="M386" s="3" t="str">
        <f t="shared" si="3"/>
        <v>Facebook</v>
      </c>
      <c r="N386" s="3" t="str">
        <f>IFERROR(__xludf.DUMMYFUNCTION("SPLIT(M386,""&amp;"")"),"Facebook")</f>
        <v>Facebook</v>
      </c>
      <c r="O386" s="3" t="str">
        <f t="shared" si="4"/>
        <v>Facebook</v>
      </c>
      <c r="P386" s="3" t="str">
        <f t="shared" si="5"/>
        <v>Visitjaipur</v>
      </c>
      <c r="Q386" s="3" t="str">
        <f t="shared" si="6"/>
        <v>Visitjaipur</v>
      </c>
      <c r="R386" s="3">
        <f t="shared" si="7"/>
        <v>5676</v>
      </c>
    </row>
    <row r="387">
      <c r="A387" s="7" t="s">
        <v>122</v>
      </c>
      <c r="B387" s="8" t="s">
        <v>20</v>
      </c>
      <c r="C387" s="8">
        <v>99500.0</v>
      </c>
      <c r="E387" s="3" t="str">
        <f>IFERROR(__xludf.DUMMYFUNCTION("SPLIT(A387,""|"")")," VfS/YouTube/20221204/Visitrajasthan/4564 ")</f>
        <v> VfS/YouTube/20221204/Visitrajasthan/4564 </v>
      </c>
      <c r="F387" s="3" t="str">
        <f>IFERROR(__xludf.DUMMYFUNCTION("SPLIT(E387,""/"")")," VfS")</f>
        <v> VfS</v>
      </c>
      <c r="G387" s="3" t="str">
        <f>IFERROR(__xludf.DUMMYFUNCTION("""COMPUTED_VALUE"""),"YouTube")</f>
        <v>YouTube</v>
      </c>
      <c r="H387" s="3">
        <f>IFERROR(__xludf.DUMMYFUNCTION("""COMPUTED_VALUE"""),2.0221204E7)</f>
        <v>20221204</v>
      </c>
      <c r="I387" s="3" t="str">
        <f>IFERROR(__xludf.DUMMYFUNCTION("""COMPUTED_VALUE"""),"Visitrajasthan")</f>
        <v>Visitrajasthan</v>
      </c>
      <c r="J387" s="3">
        <f>IFERROR(__xludf.DUMMYFUNCTION("""COMPUTED_VALUE"""),4564.0)</f>
        <v>4564</v>
      </c>
      <c r="K387" s="3" t="str">
        <f t="shared" ref="K387:L387" si="391">TRIM(F387)</f>
        <v>VfS</v>
      </c>
      <c r="L387" s="3" t="str">
        <f t="shared" si="391"/>
        <v>YouTube</v>
      </c>
      <c r="M387" s="3" t="str">
        <f t="shared" si="3"/>
        <v>Youtube</v>
      </c>
      <c r="N387" s="3" t="str">
        <f>IFERROR(__xludf.DUMMYFUNCTION("SPLIT(M387,""&amp;"")"),"Youtube")</f>
        <v>Youtube</v>
      </c>
      <c r="O387" s="3" t="str">
        <f t="shared" si="4"/>
        <v>Youtube</v>
      </c>
      <c r="P387" s="3" t="str">
        <f t="shared" si="5"/>
        <v>Visitrajasthan</v>
      </c>
      <c r="Q387" s="3" t="str">
        <f t="shared" si="6"/>
        <v>Visitrajasthan</v>
      </c>
      <c r="R387" s="3">
        <f t="shared" si="7"/>
        <v>4564</v>
      </c>
    </row>
    <row r="388">
      <c r="A388" s="7" t="s">
        <v>123</v>
      </c>
      <c r="B388" s="8" t="s">
        <v>20</v>
      </c>
      <c r="C388" s="8">
        <v>77000.0</v>
      </c>
      <c r="E388" s="3" t="str">
        <f>IFERROR(__xludf.DUMMYFUNCTION("SPLIT(A388,""|"")")," NEFT/Instagram/20221207/visitudaipur/4565 ")</f>
        <v> NEFT/Instagram/20221207/visitudaipur/4565 </v>
      </c>
      <c r="F388" s="3" t="str">
        <f>IFERROR(__xludf.DUMMYFUNCTION("SPLIT(E388,""/"")")," NEFT")</f>
        <v> NEFT</v>
      </c>
      <c r="G388" s="3" t="str">
        <f>IFERROR(__xludf.DUMMYFUNCTION("""COMPUTED_VALUE"""),"Instagram")</f>
        <v>Instagram</v>
      </c>
      <c r="H388" s="3">
        <f>IFERROR(__xludf.DUMMYFUNCTION("""COMPUTED_VALUE"""),2.0221207E7)</f>
        <v>20221207</v>
      </c>
      <c r="I388" s="3" t="str">
        <f>IFERROR(__xludf.DUMMYFUNCTION("""COMPUTED_VALUE"""),"visitudaipur")</f>
        <v>visitudaipur</v>
      </c>
      <c r="J388" s="3">
        <f>IFERROR(__xludf.DUMMYFUNCTION("""COMPUTED_VALUE"""),4565.0)</f>
        <v>4565</v>
      </c>
      <c r="K388" s="3" t="str">
        <f t="shared" ref="K388:L388" si="392">TRIM(F388)</f>
        <v>NEFT</v>
      </c>
      <c r="L388" s="3" t="str">
        <f t="shared" si="392"/>
        <v>Instagram</v>
      </c>
      <c r="M388" s="3" t="str">
        <f t="shared" si="3"/>
        <v>Instagram</v>
      </c>
      <c r="N388" s="3" t="str">
        <f>IFERROR(__xludf.DUMMYFUNCTION("SPLIT(M388,""&amp;"")"),"Instagram")</f>
        <v>Instagram</v>
      </c>
      <c r="O388" s="3" t="str">
        <f t="shared" si="4"/>
        <v>Instagram</v>
      </c>
      <c r="P388" s="3" t="str">
        <f t="shared" si="5"/>
        <v>visitudaipur</v>
      </c>
      <c r="Q388" s="3" t="str">
        <f t="shared" si="6"/>
        <v>Visitudaipur</v>
      </c>
      <c r="R388" s="3">
        <f t="shared" si="7"/>
        <v>4565</v>
      </c>
    </row>
    <row r="389">
      <c r="A389" s="7" t="s">
        <v>124</v>
      </c>
      <c r="B389" s="8" t="s">
        <v>20</v>
      </c>
      <c r="C389" s="8">
        <v>10400.0</v>
      </c>
      <c r="E389" s="3" t="str">
        <f>IFERROR(__xludf.DUMMYFUNCTION("SPLIT(A389,""|"")")," CHQ/Offline &amp;/20221210/Visitjodhpur/4566 ")</f>
        <v> CHQ/Offline &amp;/20221210/Visitjodhpur/4566 </v>
      </c>
      <c r="F389" s="3" t="str">
        <f>IFERROR(__xludf.DUMMYFUNCTION("SPLIT(E389,""/"")")," CHQ")</f>
        <v> CHQ</v>
      </c>
      <c r="G389" s="3" t="str">
        <f>IFERROR(__xludf.DUMMYFUNCTION("""COMPUTED_VALUE"""),"Offline &amp;")</f>
        <v>Offline &amp;</v>
      </c>
      <c r="H389" s="3">
        <f>IFERROR(__xludf.DUMMYFUNCTION("""COMPUTED_VALUE"""),2.022121E7)</f>
        <v>20221210</v>
      </c>
      <c r="I389" s="3" t="str">
        <f>IFERROR(__xludf.DUMMYFUNCTION("""COMPUTED_VALUE"""),"Visitjodhpur")</f>
        <v>Visitjodhpur</v>
      </c>
      <c r="J389" s="3">
        <f>IFERROR(__xludf.DUMMYFUNCTION("""COMPUTED_VALUE"""),4566.0)</f>
        <v>4566</v>
      </c>
      <c r="K389" s="3" t="str">
        <f t="shared" ref="K389:L389" si="393">TRIM(F389)</f>
        <v>CHQ</v>
      </c>
      <c r="L389" s="3" t="str">
        <f t="shared" si="393"/>
        <v>Offline &amp;</v>
      </c>
      <c r="M389" s="3" t="str">
        <f t="shared" si="3"/>
        <v>Offline &amp;</v>
      </c>
      <c r="N389" s="3" t="str">
        <f>IFERROR(__xludf.DUMMYFUNCTION("SPLIT(M389,""&amp;"")"),"Offline ")</f>
        <v>Offline </v>
      </c>
      <c r="O389" s="3" t="str">
        <f t="shared" si="4"/>
        <v>Offline</v>
      </c>
      <c r="P389" s="3" t="str">
        <f t="shared" si="5"/>
        <v>Visitjodhpur</v>
      </c>
      <c r="Q389" s="3" t="str">
        <f t="shared" si="6"/>
        <v>Visitjodhpur</v>
      </c>
      <c r="R389" s="3">
        <f t="shared" si="7"/>
        <v>4566</v>
      </c>
    </row>
    <row r="390">
      <c r="A390" s="7" t="s">
        <v>125</v>
      </c>
      <c r="B390" s="8" t="s">
        <v>20</v>
      </c>
      <c r="C390" s="8">
        <v>61700.0</v>
      </c>
      <c r="E390" s="3" t="str">
        <f>IFERROR(__xludf.DUMMYFUNCTION("SPLIT(A390,""|"")")," VfS/Google Ads/20221213/visitJaisalmer/3455 ")</f>
        <v> VfS/Google Ads/20221213/visitJaisalmer/3455 </v>
      </c>
      <c r="F390" s="3" t="str">
        <f>IFERROR(__xludf.DUMMYFUNCTION("SPLIT(E390,""/"")")," VfS")</f>
        <v> VfS</v>
      </c>
      <c r="G390" s="3" t="str">
        <f>IFERROR(__xludf.DUMMYFUNCTION("""COMPUTED_VALUE"""),"Google Ads")</f>
        <v>Google Ads</v>
      </c>
      <c r="H390" s="3">
        <f>IFERROR(__xludf.DUMMYFUNCTION("""COMPUTED_VALUE"""),2.0221213E7)</f>
        <v>20221213</v>
      </c>
      <c r="I390" s="3" t="str">
        <f>IFERROR(__xludf.DUMMYFUNCTION("""COMPUTED_VALUE"""),"visitJaisalmer")</f>
        <v>visitJaisalmer</v>
      </c>
      <c r="J390" s="3">
        <f>IFERROR(__xludf.DUMMYFUNCTION("""COMPUTED_VALUE"""),3455.0)</f>
        <v>3455</v>
      </c>
      <c r="K390" s="3" t="str">
        <f t="shared" ref="K390:L390" si="394">TRIM(F390)</f>
        <v>VfS</v>
      </c>
      <c r="L390" s="3" t="str">
        <f t="shared" si="394"/>
        <v>Google Ads</v>
      </c>
      <c r="M390" s="3" t="str">
        <f t="shared" si="3"/>
        <v>Google Ads</v>
      </c>
      <c r="N390" s="3" t="str">
        <f>IFERROR(__xludf.DUMMYFUNCTION("SPLIT(M390,""&amp;"")"),"Google Ads")</f>
        <v>Google Ads</v>
      </c>
      <c r="O390" s="3" t="str">
        <f t="shared" si="4"/>
        <v>Google Ads</v>
      </c>
      <c r="P390" s="3" t="str">
        <f t="shared" si="5"/>
        <v>visitJaisalmer</v>
      </c>
      <c r="Q390" s="3" t="str">
        <f t="shared" si="6"/>
        <v>Visitjaisalmer</v>
      </c>
      <c r="R390" s="3">
        <f t="shared" si="7"/>
        <v>3455</v>
      </c>
    </row>
    <row r="391">
      <c r="A391" s="7" t="s">
        <v>126</v>
      </c>
      <c r="B391" s="8" t="s">
        <v>20</v>
      </c>
      <c r="C391" s="8">
        <v>56000.0</v>
      </c>
      <c r="E391" s="3" t="str">
        <f>IFERROR(__xludf.DUMMYFUNCTION("SPLIT(A391,""|"")")," VIN/TwiTter/20221216/visitbikaner/5666 ")</f>
        <v> VIN/TwiTter/20221216/visitbikaner/5666 </v>
      </c>
      <c r="F391" s="3" t="str">
        <f>IFERROR(__xludf.DUMMYFUNCTION("SPLIT(E391,""/"")")," VIN")</f>
        <v> VIN</v>
      </c>
      <c r="G391" s="3" t="str">
        <f>IFERROR(__xludf.DUMMYFUNCTION("""COMPUTED_VALUE"""),"TwiTter")</f>
        <v>TwiTter</v>
      </c>
      <c r="H391" s="3">
        <f>IFERROR(__xludf.DUMMYFUNCTION("""COMPUTED_VALUE"""),2.0221216E7)</f>
        <v>20221216</v>
      </c>
      <c r="I391" s="3" t="str">
        <f>IFERROR(__xludf.DUMMYFUNCTION("""COMPUTED_VALUE"""),"visitbikaner")</f>
        <v>visitbikaner</v>
      </c>
      <c r="J391" s="3">
        <f>IFERROR(__xludf.DUMMYFUNCTION("""COMPUTED_VALUE"""),5666.0)</f>
        <v>5666</v>
      </c>
      <c r="K391" s="3" t="str">
        <f t="shared" ref="K391:L391" si="395">TRIM(F391)</f>
        <v>VIN</v>
      </c>
      <c r="L391" s="3" t="str">
        <f t="shared" si="395"/>
        <v>TwiTter</v>
      </c>
      <c r="M391" s="3" t="str">
        <f t="shared" si="3"/>
        <v>Twitter</v>
      </c>
      <c r="N391" s="3" t="str">
        <f>IFERROR(__xludf.DUMMYFUNCTION("SPLIT(M391,""&amp;"")"),"Twitter")</f>
        <v>Twitter</v>
      </c>
      <c r="O391" s="3" t="str">
        <f t="shared" si="4"/>
        <v>Twitter</v>
      </c>
      <c r="P391" s="3" t="str">
        <f t="shared" si="5"/>
        <v>visitbikaner</v>
      </c>
      <c r="Q391" s="3" t="str">
        <f t="shared" si="6"/>
        <v>Visitbikaner</v>
      </c>
      <c r="R391" s="3">
        <f t="shared" si="7"/>
        <v>5666</v>
      </c>
    </row>
    <row r="392">
      <c r="A392" s="7" t="s">
        <v>127</v>
      </c>
      <c r="B392" s="8" t="s">
        <v>20</v>
      </c>
      <c r="C392" s="8">
        <v>49400.0</v>
      </c>
      <c r="E392" s="3" t="str">
        <f>IFERROR(__xludf.DUMMYFUNCTION("SPLIT(A392,""|"")")," NEFT/Facebook/20221219/Visitjaipur/5676 ")</f>
        <v> NEFT/Facebook/20221219/Visitjaipur/5676 </v>
      </c>
      <c r="F392" s="3" t="str">
        <f>IFERROR(__xludf.DUMMYFUNCTION("SPLIT(E392,""/"")")," NEFT")</f>
        <v> NEFT</v>
      </c>
      <c r="G392" s="3" t="str">
        <f>IFERROR(__xludf.DUMMYFUNCTION("""COMPUTED_VALUE"""),"Facebook")</f>
        <v>Facebook</v>
      </c>
      <c r="H392" s="3">
        <f>IFERROR(__xludf.DUMMYFUNCTION("""COMPUTED_VALUE"""),2.0221219E7)</f>
        <v>20221219</v>
      </c>
      <c r="I392" s="3" t="str">
        <f>IFERROR(__xludf.DUMMYFUNCTION("""COMPUTED_VALUE"""),"Visitjaipur")</f>
        <v>Visitjaipur</v>
      </c>
      <c r="J392" s="3">
        <f>IFERROR(__xludf.DUMMYFUNCTION("""COMPUTED_VALUE"""),5676.0)</f>
        <v>5676</v>
      </c>
      <c r="K392" s="3" t="str">
        <f t="shared" ref="K392:L392" si="396">TRIM(F392)</f>
        <v>NEFT</v>
      </c>
      <c r="L392" s="3" t="str">
        <f t="shared" si="396"/>
        <v>Facebook</v>
      </c>
      <c r="M392" s="3" t="str">
        <f t="shared" si="3"/>
        <v>Facebook</v>
      </c>
      <c r="N392" s="3" t="str">
        <f>IFERROR(__xludf.DUMMYFUNCTION("SPLIT(M392,""&amp;"")"),"Facebook")</f>
        <v>Facebook</v>
      </c>
      <c r="O392" s="3" t="str">
        <f t="shared" si="4"/>
        <v>Facebook</v>
      </c>
      <c r="P392" s="3" t="str">
        <f t="shared" si="5"/>
        <v>Visitjaipur</v>
      </c>
      <c r="Q392" s="3" t="str">
        <f t="shared" si="6"/>
        <v>Visitjaipur</v>
      </c>
      <c r="R392" s="3">
        <f t="shared" si="7"/>
        <v>5676</v>
      </c>
    </row>
    <row r="393">
      <c r="A393" s="7" t="s">
        <v>128</v>
      </c>
      <c r="B393" s="8" t="s">
        <v>20</v>
      </c>
      <c r="C393" s="8">
        <v>37400.0</v>
      </c>
      <c r="E393" s="3" t="str">
        <f>IFERROR(__xludf.DUMMYFUNCTION("SPLIT(A393,""|"")")," CHQ/YouTube &amp;/20221222/Visitrajasthan/4564 ")</f>
        <v> CHQ/YouTube &amp;/20221222/Visitrajasthan/4564 </v>
      </c>
      <c r="F393" s="3" t="str">
        <f>IFERROR(__xludf.DUMMYFUNCTION("SPLIT(E393,""/"")")," CHQ")</f>
        <v> CHQ</v>
      </c>
      <c r="G393" s="3" t="str">
        <f>IFERROR(__xludf.DUMMYFUNCTION("""COMPUTED_VALUE"""),"YouTube &amp;")</f>
        <v>YouTube &amp;</v>
      </c>
      <c r="H393" s="3">
        <f>IFERROR(__xludf.DUMMYFUNCTION("""COMPUTED_VALUE"""),2.0221222E7)</f>
        <v>20221222</v>
      </c>
      <c r="I393" s="3" t="str">
        <f>IFERROR(__xludf.DUMMYFUNCTION("""COMPUTED_VALUE"""),"Visitrajasthan")</f>
        <v>Visitrajasthan</v>
      </c>
      <c r="J393" s="3">
        <f>IFERROR(__xludf.DUMMYFUNCTION("""COMPUTED_VALUE"""),4564.0)</f>
        <v>4564</v>
      </c>
      <c r="K393" s="3" t="str">
        <f t="shared" ref="K393:L393" si="397">TRIM(F393)</f>
        <v>CHQ</v>
      </c>
      <c r="L393" s="3" t="str">
        <f t="shared" si="397"/>
        <v>YouTube &amp;</v>
      </c>
      <c r="M393" s="3" t="str">
        <f t="shared" si="3"/>
        <v>Youtube &amp;</v>
      </c>
      <c r="N393" s="3" t="str">
        <f>IFERROR(__xludf.DUMMYFUNCTION("SPLIT(M393,""&amp;"")"),"Youtube ")</f>
        <v>Youtube </v>
      </c>
      <c r="O393" s="3" t="str">
        <f t="shared" si="4"/>
        <v>Youtube</v>
      </c>
      <c r="P393" s="3" t="str">
        <f t="shared" si="5"/>
        <v>Visitrajasthan</v>
      </c>
      <c r="Q393" s="3" t="str">
        <f t="shared" si="6"/>
        <v>Visitrajasthan</v>
      </c>
      <c r="R393" s="3">
        <f t="shared" si="7"/>
        <v>4564</v>
      </c>
    </row>
    <row r="394">
      <c r="A394" s="7" t="s">
        <v>129</v>
      </c>
      <c r="B394" s="8" t="s">
        <v>20</v>
      </c>
      <c r="C394" s="8">
        <v>53700.0</v>
      </c>
      <c r="E394" s="3" t="str">
        <f>IFERROR(__xludf.DUMMYFUNCTION("SPLIT(A394,""|"")")," VfS/Instagram/20221225/visitudaipur/4565 ")</f>
        <v> VfS/Instagram/20221225/visitudaipur/4565 </v>
      </c>
      <c r="F394" s="3" t="str">
        <f>IFERROR(__xludf.DUMMYFUNCTION("SPLIT(E394,""/"")")," VfS")</f>
        <v> VfS</v>
      </c>
      <c r="G394" s="3" t="str">
        <f>IFERROR(__xludf.DUMMYFUNCTION("""COMPUTED_VALUE"""),"Instagram")</f>
        <v>Instagram</v>
      </c>
      <c r="H394" s="3">
        <f>IFERROR(__xludf.DUMMYFUNCTION("""COMPUTED_VALUE"""),2.0221225E7)</f>
        <v>20221225</v>
      </c>
      <c r="I394" s="3" t="str">
        <f>IFERROR(__xludf.DUMMYFUNCTION("""COMPUTED_VALUE"""),"visitudaipur")</f>
        <v>visitudaipur</v>
      </c>
      <c r="J394" s="3">
        <f>IFERROR(__xludf.DUMMYFUNCTION("""COMPUTED_VALUE"""),4565.0)</f>
        <v>4565</v>
      </c>
      <c r="K394" s="3" t="str">
        <f t="shared" ref="K394:L394" si="398">TRIM(F394)</f>
        <v>VfS</v>
      </c>
      <c r="L394" s="3" t="str">
        <f t="shared" si="398"/>
        <v>Instagram</v>
      </c>
      <c r="M394" s="3" t="str">
        <f t="shared" si="3"/>
        <v>Instagram</v>
      </c>
      <c r="N394" s="3" t="str">
        <f>IFERROR(__xludf.DUMMYFUNCTION("SPLIT(M394,""&amp;"")"),"Instagram")</f>
        <v>Instagram</v>
      </c>
      <c r="O394" s="3" t="str">
        <f t="shared" si="4"/>
        <v>Instagram</v>
      </c>
      <c r="P394" s="3" t="str">
        <f t="shared" si="5"/>
        <v>visitudaipur</v>
      </c>
      <c r="Q394" s="3" t="str">
        <f t="shared" si="6"/>
        <v>Visitudaipur</v>
      </c>
      <c r="R394" s="3">
        <f t="shared" si="7"/>
        <v>4565</v>
      </c>
    </row>
    <row r="395">
      <c r="A395" s="7" t="s">
        <v>130</v>
      </c>
      <c r="B395" s="8" t="s">
        <v>20</v>
      </c>
      <c r="C395" s="8">
        <v>48600.0</v>
      </c>
      <c r="E395" s="3" t="str">
        <f>IFERROR(__xludf.DUMMYFUNCTION("SPLIT(A395,""|"")")," VIN/OfflINe &amp;/20221228/Visitjodhpur/4566 ")</f>
        <v> VIN/OfflINe &amp;/20221228/Visitjodhpur/4566 </v>
      </c>
      <c r="F395" s="3" t="str">
        <f>IFERROR(__xludf.DUMMYFUNCTION("SPLIT(E395,""/"")")," VIN")</f>
        <v> VIN</v>
      </c>
      <c r="G395" s="3" t="str">
        <f>IFERROR(__xludf.DUMMYFUNCTION("""COMPUTED_VALUE"""),"OfflINe &amp;")</f>
        <v>OfflINe &amp;</v>
      </c>
      <c r="H395" s="3">
        <f>IFERROR(__xludf.DUMMYFUNCTION("""COMPUTED_VALUE"""),2.0221228E7)</f>
        <v>20221228</v>
      </c>
      <c r="I395" s="3" t="str">
        <f>IFERROR(__xludf.DUMMYFUNCTION("""COMPUTED_VALUE"""),"Visitjodhpur")</f>
        <v>Visitjodhpur</v>
      </c>
      <c r="J395" s="3">
        <f>IFERROR(__xludf.DUMMYFUNCTION("""COMPUTED_VALUE"""),4566.0)</f>
        <v>4566</v>
      </c>
      <c r="K395" s="3" t="str">
        <f t="shared" ref="K395:L395" si="399">TRIM(F395)</f>
        <v>VIN</v>
      </c>
      <c r="L395" s="3" t="str">
        <f t="shared" si="399"/>
        <v>OfflINe &amp;</v>
      </c>
      <c r="M395" s="3" t="str">
        <f t="shared" si="3"/>
        <v>Offline &amp;</v>
      </c>
      <c r="N395" s="3" t="str">
        <f>IFERROR(__xludf.DUMMYFUNCTION("SPLIT(M395,""&amp;"")"),"Offline ")</f>
        <v>Offline </v>
      </c>
      <c r="O395" s="3" t="str">
        <f t="shared" si="4"/>
        <v>Offline</v>
      </c>
      <c r="P395" s="3" t="str">
        <f t="shared" si="5"/>
        <v>Visitjodhpur</v>
      </c>
      <c r="Q395" s="3" t="str">
        <f t="shared" si="6"/>
        <v>Visitjodhpur</v>
      </c>
      <c r="R395" s="3">
        <f t="shared" si="7"/>
        <v>4566</v>
      </c>
    </row>
    <row r="396">
      <c r="A396" s="7" t="s">
        <v>131</v>
      </c>
      <c r="B396" s="8" t="s">
        <v>6</v>
      </c>
      <c r="C396" s="8">
        <v>50600.0</v>
      </c>
      <c r="E396" s="3" t="str">
        <f>IFERROR(__xludf.DUMMYFUNCTION("SPLIT(A396,""|"")")," CHQ/Facebook/20221001/Visitjaipur/5676 ")</f>
        <v> CHQ/Facebook/20221001/Visitjaipur/5676 </v>
      </c>
      <c r="F396" s="3" t="str">
        <f>IFERROR(__xludf.DUMMYFUNCTION("SPLIT(E396,""/"")")," CHQ")</f>
        <v> CHQ</v>
      </c>
      <c r="G396" s="3" t="str">
        <f>IFERROR(__xludf.DUMMYFUNCTION("""COMPUTED_VALUE"""),"Facebook")</f>
        <v>Facebook</v>
      </c>
      <c r="H396" s="3">
        <f>IFERROR(__xludf.DUMMYFUNCTION("""COMPUTED_VALUE"""),2.0221001E7)</f>
        <v>20221001</v>
      </c>
      <c r="I396" s="3" t="str">
        <f>IFERROR(__xludf.DUMMYFUNCTION("""COMPUTED_VALUE"""),"Visitjaipur")</f>
        <v>Visitjaipur</v>
      </c>
      <c r="J396" s="3">
        <f>IFERROR(__xludf.DUMMYFUNCTION("""COMPUTED_VALUE"""),5676.0)</f>
        <v>5676</v>
      </c>
      <c r="K396" s="3" t="str">
        <f t="shared" ref="K396:L396" si="400">TRIM(F396)</f>
        <v>CHQ</v>
      </c>
      <c r="L396" s="3" t="str">
        <f t="shared" si="400"/>
        <v>Facebook</v>
      </c>
      <c r="M396" s="3" t="str">
        <f t="shared" si="3"/>
        <v>Facebook</v>
      </c>
      <c r="N396" s="3" t="str">
        <f>IFERROR(__xludf.DUMMYFUNCTION("SPLIT(M396,""&amp;"")"),"Facebook")</f>
        <v>Facebook</v>
      </c>
      <c r="O396" s="3" t="str">
        <f t="shared" si="4"/>
        <v>Facebook</v>
      </c>
      <c r="P396" s="3" t="str">
        <f t="shared" si="5"/>
        <v>Visitjaipur</v>
      </c>
      <c r="Q396" s="3" t="str">
        <f t="shared" si="6"/>
        <v>Visitjaipur</v>
      </c>
      <c r="R396" s="3">
        <f t="shared" si="7"/>
        <v>5676</v>
      </c>
    </row>
    <row r="397">
      <c r="A397" s="7" t="s">
        <v>132</v>
      </c>
      <c r="B397" s="8" t="s">
        <v>6</v>
      </c>
      <c r="C397" s="8">
        <v>97000.0</v>
      </c>
      <c r="E397" s="3" t="str">
        <f>IFERROR(__xludf.DUMMYFUNCTION("SPLIT(A397,""|"")")," VfS/YouTube/20221004/Visitrajasthan/4564 ")</f>
        <v> VfS/YouTube/20221004/Visitrajasthan/4564 </v>
      </c>
      <c r="F397" s="3" t="str">
        <f>IFERROR(__xludf.DUMMYFUNCTION("SPLIT(E397,""/"")")," VfS")</f>
        <v> VfS</v>
      </c>
      <c r="G397" s="3" t="str">
        <f>IFERROR(__xludf.DUMMYFUNCTION("""COMPUTED_VALUE"""),"YouTube")</f>
        <v>YouTube</v>
      </c>
      <c r="H397" s="3">
        <f>IFERROR(__xludf.DUMMYFUNCTION("""COMPUTED_VALUE"""),2.0221004E7)</f>
        <v>20221004</v>
      </c>
      <c r="I397" s="3" t="str">
        <f>IFERROR(__xludf.DUMMYFUNCTION("""COMPUTED_VALUE"""),"Visitrajasthan")</f>
        <v>Visitrajasthan</v>
      </c>
      <c r="J397" s="3">
        <f>IFERROR(__xludf.DUMMYFUNCTION("""COMPUTED_VALUE"""),4564.0)</f>
        <v>4564</v>
      </c>
      <c r="K397" s="3" t="str">
        <f t="shared" ref="K397:L397" si="401">TRIM(F397)</f>
        <v>VfS</v>
      </c>
      <c r="L397" s="3" t="str">
        <f t="shared" si="401"/>
        <v>YouTube</v>
      </c>
      <c r="M397" s="3" t="str">
        <f t="shared" si="3"/>
        <v>Youtube</v>
      </c>
      <c r="N397" s="3" t="str">
        <f>IFERROR(__xludf.DUMMYFUNCTION("SPLIT(M397,""&amp;"")"),"Youtube")</f>
        <v>Youtube</v>
      </c>
      <c r="O397" s="3" t="str">
        <f t="shared" si="4"/>
        <v>Youtube</v>
      </c>
      <c r="P397" s="3" t="str">
        <f t="shared" si="5"/>
        <v>Visitrajasthan</v>
      </c>
      <c r="Q397" s="3" t="str">
        <f t="shared" si="6"/>
        <v>Visitrajasthan</v>
      </c>
      <c r="R397" s="3">
        <f t="shared" si="7"/>
        <v>4564</v>
      </c>
    </row>
    <row r="398">
      <c r="A398" s="7" t="s">
        <v>133</v>
      </c>
      <c r="B398" s="8" t="s">
        <v>6</v>
      </c>
      <c r="C398" s="8">
        <v>69700.0</v>
      </c>
      <c r="E398" s="3" t="str">
        <f>IFERROR(__xludf.DUMMYFUNCTION("SPLIT(A398,""|"")")," NEFT/Instagram/20221007/visitudaipur/4565 ")</f>
        <v> NEFT/Instagram/20221007/visitudaipur/4565 </v>
      </c>
      <c r="F398" s="3" t="str">
        <f>IFERROR(__xludf.DUMMYFUNCTION("SPLIT(E398,""/"")")," NEFT")</f>
        <v> NEFT</v>
      </c>
      <c r="G398" s="3" t="str">
        <f>IFERROR(__xludf.DUMMYFUNCTION("""COMPUTED_VALUE"""),"Instagram")</f>
        <v>Instagram</v>
      </c>
      <c r="H398" s="3">
        <f>IFERROR(__xludf.DUMMYFUNCTION("""COMPUTED_VALUE"""),2.0221007E7)</f>
        <v>20221007</v>
      </c>
      <c r="I398" s="3" t="str">
        <f>IFERROR(__xludf.DUMMYFUNCTION("""COMPUTED_VALUE"""),"visitudaipur")</f>
        <v>visitudaipur</v>
      </c>
      <c r="J398" s="3">
        <f>IFERROR(__xludf.DUMMYFUNCTION("""COMPUTED_VALUE"""),4565.0)</f>
        <v>4565</v>
      </c>
      <c r="K398" s="3" t="str">
        <f t="shared" ref="K398:L398" si="402">TRIM(F398)</f>
        <v>NEFT</v>
      </c>
      <c r="L398" s="3" t="str">
        <f t="shared" si="402"/>
        <v>Instagram</v>
      </c>
      <c r="M398" s="3" t="str">
        <f t="shared" si="3"/>
        <v>Instagram</v>
      </c>
      <c r="N398" s="3" t="str">
        <f>IFERROR(__xludf.DUMMYFUNCTION("SPLIT(M398,""&amp;"")"),"Instagram")</f>
        <v>Instagram</v>
      </c>
      <c r="O398" s="3" t="str">
        <f t="shared" si="4"/>
        <v>Instagram</v>
      </c>
      <c r="P398" s="3" t="str">
        <f t="shared" si="5"/>
        <v>visitudaipur</v>
      </c>
      <c r="Q398" s="3" t="str">
        <f t="shared" si="6"/>
        <v>Visitudaipur</v>
      </c>
      <c r="R398" s="3">
        <f t="shared" si="7"/>
        <v>4565</v>
      </c>
    </row>
    <row r="399">
      <c r="A399" s="7" t="s">
        <v>134</v>
      </c>
      <c r="B399" s="8" t="s">
        <v>6</v>
      </c>
      <c r="C399" s="8">
        <v>66700.0</v>
      </c>
      <c r="E399" s="3" t="str">
        <f>IFERROR(__xludf.DUMMYFUNCTION("SPLIT(A399,""|"")")," CHQ/Offline &amp;/20221010/Visitjodhpur/4566 ")</f>
        <v> CHQ/Offline &amp;/20221010/Visitjodhpur/4566 </v>
      </c>
      <c r="F399" s="3" t="str">
        <f>IFERROR(__xludf.DUMMYFUNCTION("SPLIT(E399,""/"")")," CHQ")</f>
        <v> CHQ</v>
      </c>
      <c r="G399" s="3" t="str">
        <f>IFERROR(__xludf.DUMMYFUNCTION("""COMPUTED_VALUE"""),"Offline &amp;")</f>
        <v>Offline &amp;</v>
      </c>
      <c r="H399" s="3">
        <f>IFERROR(__xludf.DUMMYFUNCTION("""COMPUTED_VALUE"""),2.022101E7)</f>
        <v>20221010</v>
      </c>
      <c r="I399" s="3" t="str">
        <f>IFERROR(__xludf.DUMMYFUNCTION("""COMPUTED_VALUE"""),"Visitjodhpur")</f>
        <v>Visitjodhpur</v>
      </c>
      <c r="J399" s="3">
        <f>IFERROR(__xludf.DUMMYFUNCTION("""COMPUTED_VALUE"""),4566.0)</f>
        <v>4566</v>
      </c>
      <c r="K399" s="3" t="str">
        <f t="shared" ref="K399:L399" si="403">TRIM(F399)</f>
        <v>CHQ</v>
      </c>
      <c r="L399" s="3" t="str">
        <f t="shared" si="403"/>
        <v>Offline &amp;</v>
      </c>
      <c r="M399" s="3" t="str">
        <f t="shared" si="3"/>
        <v>Offline &amp;</v>
      </c>
      <c r="N399" s="3" t="str">
        <f>IFERROR(__xludf.DUMMYFUNCTION("SPLIT(M399,""&amp;"")"),"Offline ")</f>
        <v>Offline </v>
      </c>
      <c r="O399" s="3" t="str">
        <f t="shared" si="4"/>
        <v>Offline</v>
      </c>
      <c r="P399" s="3" t="str">
        <f t="shared" si="5"/>
        <v>Visitjodhpur</v>
      </c>
      <c r="Q399" s="3" t="str">
        <f t="shared" si="6"/>
        <v>Visitjodhpur</v>
      </c>
      <c r="R399" s="3">
        <f t="shared" si="7"/>
        <v>4566</v>
      </c>
    </row>
    <row r="400">
      <c r="A400" s="7" t="s">
        <v>151</v>
      </c>
      <c r="B400" s="8" t="s">
        <v>6</v>
      </c>
      <c r="C400" s="8">
        <v>14400.0</v>
      </c>
      <c r="E400" s="3" t="str">
        <f>IFERROR(__xludf.DUMMYFUNCTION("SPLIT(A400,""|"")")," VfS/Google Ads/20221013/visitJaisalmer/3455 ")</f>
        <v> VfS/Google Ads/20221013/visitJaisalmer/3455 </v>
      </c>
      <c r="F400" s="3" t="str">
        <f>IFERROR(__xludf.DUMMYFUNCTION("SPLIT(E400,""/"")")," VfS")</f>
        <v> VfS</v>
      </c>
      <c r="G400" s="3" t="str">
        <f>IFERROR(__xludf.DUMMYFUNCTION("""COMPUTED_VALUE"""),"Google Ads")</f>
        <v>Google Ads</v>
      </c>
      <c r="H400" s="3">
        <f>IFERROR(__xludf.DUMMYFUNCTION("""COMPUTED_VALUE"""),2.0221013E7)</f>
        <v>20221013</v>
      </c>
      <c r="I400" s="3" t="str">
        <f>IFERROR(__xludf.DUMMYFUNCTION("""COMPUTED_VALUE"""),"visitJaisalmer")</f>
        <v>visitJaisalmer</v>
      </c>
      <c r="J400" s="3">
        <f>IFERROR(__xludf.DUMMYFUNCTION("""COMPUTED_VALUE"""),3455.0)</f>
        <v>3455</v>
      </c>
      <c r="K400" s="3" t="str">
        <f t="shared" ref="K400:L400" si="404">TRIM(F400)</f>
        <v>VfS</v>
      </c>
      <c r="L400" s="3" t="str">
        <f t="shared" si="404"/>
        <v>Google Ads</v>
      </c>
      <c r="M400" s="3" t="str">
        <f t="shared" si="3"/>
        <v>Google Ads</v>
      </c>
      <c r="N400" s="3" t="str">
        <f>IFERROR(__xludf.DUMMYFUNCTION("SPLIT(M400,""&amp;"")"),"Google Ads")</f>
        <v>Google Ads</v>
      </c>
      <c r="O400" s="3" t="str">
        <f t="shared" si="4"/>
        <v>Google Ads</v>
      </c>
      <c r="P400" s="3" t="str">
        <f t="shared" si="5"/>
        <v>visitJaisalmer</v>
      </c>
      <c r="Q400" s="3" t="str">
        <f t="shared" si="6"/>
        <v>Visitjaisalmer</v>
      </c>
      <c r="R400" s="3">
        <f t="shared" si="7"/>
        <v>3455</v>
      </c>
    </row>
    <row r="401">
      <c r="A401" s="7" t="s">
        <v>136</v>
      </c>
      <c r="B401" s="8" t="s">
        <v>6</v>
      </c>
      <c r="C401" s="8">
        <v>17600.0</v>
      </c>
      <c r="E401" s="3" t="str">
        <f>IFERROR(__xludf.DUMMYFUNCTION("SPLIT(A401,""|"")")," VIN/TwiTter/20221016/visitbikaner/5666 ")</f>
        <v> VIN/TwiTter/20221016/visitbikaner/5666 </v>
      </c>
      <c r="F401" s="3" t="str">
        <f>IFERROR(__xludf.DUMMYFUNCTION("SPLIT(E401,""/"")")," VIN")</f>
        <v> VIN</v>
      </c>
      <c r="G401" s="3" t="str">
        <f>IFERROR(__xludf.DUMMYFUNCTION("""COMPUTED_VALUE"""),"TwiTter")</f>
        <v>TwiTter</v>
      </c>
      <c r="H401" s="3">
        <f>IFERROR(__xludf.DUMMYFUNCTION("""COMPUTED_VALUE"""),2.0221016E7)</f>
        <v>20221016</v>
      </c>
      <c r="I401" s="3" t="str">
        <f>IFERROR(__xludf.DUMMYFUNCTION("""COMPUTED_VALUE"""),"visitbikaner")</f>
        <v>visitbikaner</v>
      </c>
      <c r="J401" s="3">
        <f>IFERROR(__xludf.DUMMYFUNCTION("""COMPUTED_VALUE"""),5666.0)</f>
        <v>5666</v>
      </c>
      <c r="K401" s="3" t="str">
        <f t="shared" ref="K401:L401" si="405">TRIM(F401)</f>
        <v>VIN</v>
      </c>
      <c r="L401" s="3" t="str">
        <f t="shared" si="405"/>
        <v>TwiTter</v>
      </c>
      <c r="M401" s="3" t="str">
        <f t="shared" si="3"/>
        <v>Twitter</v>
      </c>
      <c r="N401" s="3" t="str">
        <f>IFERROR(__xludf.DUMMYFUNCTION("SPLIT(M401,""&amp;"")"),"Twitter")</f>
        <v>Twitter</v>
      </c>
      <c r="O401" s="3" t="str">
        <f t="shared" si="4"/>
        <v>Twitter</v>
      </c>
      <c r="P401" s="3" t="str">
        <f t="shared" si="5"/>
        <v>visitbikaner</v>
      </c>
      <c r="Q401" s="3" t="str">
        <f t="shared" si="6"/>
        <v>Visitbikaner</v>
      </c>
      <c r="R401" s="3">
        <f t="shared" si="7"/>
        <v>5666</v>
      </c>
    </row>
    <row r="402">
      <c r="A402" s="7" t="s">
        <v>137</v>
      </c>
      <c r="B402" s="8" t="s">
        <v>6</v>
      </c>
      <c r="C402" s="8">
        <v>26000.0</v>
      </c>
      <c r="E402" s="3" t="str">
        <f>IFERROR(__xludf.DUMMYFUNCTION("SPLIT(A402,""|"")")," NEFT/Facebook/20221019/Visitjaipur/5676 ")</f>
        <v> NEFT/Facebook/20221019/Visitjaipur/5676 </v>
      </c>
      <c r="F402" s="3" t="str">
        <f>IFERROR(__xludf.DUMMYFUNCTION("SPLIT(E402,""/"")")," NEFT")</f>
        <v> NEFT</v>
      </c>
      <c r="G402" s="3" t="str">
        <f>IFERROR(__xludf.DUMMYFUNCTION("""COMPUTED_VALUE"""),"Facebook")</f>
        <v>Facebook</v>
      </c>
      <c r="H402" s="3">
        <f>IFERROR(__xludf.DUMMYFUNCTION("""COMPUTED_VALUE"""),2.0221019E7)</f>
        <v>20221019</v>
      </c>
      <c r="I402" s="3" t="str">
        <f>IFERROR(__xludf.DUMMYFUNCTION("""COMPUTED_VALUE"""),"Visitjaipur")</f>
        <v>Visitjaipur</v>
      </c>
      <c r="J402" s="3">
        <f>IFERROR(__xludf.DUMMYFUNCTION("""COMPUTED_VALUE"""),5676.0)</f>
        <v>5676</v>
      </c>
      <c r="K402" s="3" t="str">
        <f t="shared" ref="K402:L402" si="406">TRIM(F402)</f>
        <v>NEFT</v>
      </c>
      <c r="L402" s="3" t="str">
        <f t="shared" si="406"/>
        <v>Facebook</v>
      </c>
      <c r="M402" s="3" t="str">
        <f t="shared" si="3"/>
        <v>Facebook</v>
      </c>
      <c r="N402" s="3" t="str">
        <f>IFERROR(__xludf.DUMMYFUNCTION("SPLIT(M402,""&amp;"")"),"Facebook")</f>
        <v>Facebook</v>
      </c>
      <c r="O402" s="3" t="str">
        <f t="shared" si="4"/>
        <v>Facebook</v>
      </c>
      <c r="P402" s="3" t="str">
        <f t="shared" si="5"/>
        <v>Visitjaipur</v>
      </c>
      <c r="Q402" s="3" t="str">
        <f t="shared" si="6"/>
        <v>Visitjaipur</v>
      </c>
      <c r="R402" s="3">
        <f t="shared" si="7"/>
        <v>5676</v>
      </c>
    </row>
    <row r="403">
      <c r="A403" s="7" t="s">
        <v>138</v>
      </c>
      <c r="B403" s="8" t="s">
        <v>6</v>
      </c>
      <c r="C403" s="8">
        <v>67200.0</v>
      </c>
      <c r="E403" s="3" t="str">
        <f>IFERROR(__xludf.DUMMYFUNCTION("SPLIT(A403,""|"")")," CHQ/YouTube &amp;/20221022/Visitrajasthan/4564 ")</f>
        <v> CHQ/YouTube &amp;/20221022/Visitrajasthan/4564 </v>
      </c>
      <c r="F403" s="3" t="str">
        <f>IFERROR(__xludf.DUMMYFUNCTION("SPLIT(E403,""/"")")," CHQ")</f>
        <v> CHQ</v>
      </c>
      <c r="G403" s="3" t="str">
        <f>IFERROR(__xludf.DUMMYFUNCTION("""COMPUTED_VALUE"""),"YouTube &amp;")</f>
        <v>YouTube &amp;</v>
      </c>
      <c r="H403" s="3">
        <f>IFERROR(__xludf.DUMMYFUNCTION("""COMPUTED_VALUE"""),2.0221022E7)</f>
        <v>20221022</v>
      </c>
      <c r="I403" s="3" t="str">
        <f>IFERROR(__xludf.DUMMYFUNCTION("""COMPUTED_VALUE"""),"Visitrajasthan")</f>
        <v>Visitrajasthan</v>
      </c>
      <c r="J403" s="3">
        <f>IFERROR(__xludf.DUMMYFUNCTION("""COMPUTED_VALUE"""),4564.0)</f>
        <v>4564</v>
      </c>
      <c r="K403" s="3" t="str">
        <f t="shared" ref="K403:L403" si="407">TRIM(F403)</f>
        <v>CHQ</v>
      </c>
      <c r="L403" s="3" t="str">
        <f t="shared" si="407"/>
        <v>YouTube &amp;</v>
      </c>
      <c r="M403" s="3" t="str">
        <f t="shared" si="3"/>
        <v>Youtube &amp;</v>
      </c>
      <c r="N403" s="3" t="str">
        <f>IFERROR(__xludf.DUMMYFUNCTION("SPLIT(M403,""&amp;"")"),"Youtube ")</f>
        <v>Youtube </v>
      </c>
      <c r="O403" s="3" t="str">
        <f t="shared" si="4"/>
        <v>Youtube</v>
      </c>
      <c r="P403" s="3" t="str">
        <f t="shared" si="5"/>
        <v>Visitrajasthan</v>
      </c>
      <c r="Q403" s="3" t="str">
        <f t="shared" si="6"/>
        <v>Visitrajasthan</v>
      </c>
      <c r="R403" s="3">
        <f t="shared" si="7"/>
        <v>4564</v>
      </c>
    </row>
    <row r="404">
      <c r="A404" s="7" t="s">
        <v>139</v>
      </c>
      <c r="B404" s="8" t="s">
        <v>6</v>
      </c>
      <c r="C404" s="8">
        <v>82100.0</v>
      </c>
      <c r="E404" s="3" t="str">
        <f>IFERROR(__xludf.DUMMYFUNCTION("SPLIT(A404,""|"")")," VfS/Instagram/20221025/visitudaipur/4565 ")</f>
        <v> VfS/Instagram/20221025/visitudaipur/4565 </v>
      </c>
      <c r="F404" s="3" t="str">
        <f>IFERROR(__xludf.DUMMYFUNCTION("SPLIT(E404,""/"")")," VfS")</f>
        <v> VfS</v>
      </c>
      <c r="G404" s="3" t="str">
        <f>IFERROR(__xludf.DUMMYFUNCTION("""COMPUTED_VALUE"""),"Instagram")</f>
        <v>Instagram</v>
      </c>
      <c r="H404" s="3">
        <f>IFERROR(__xludf.DUMMYFUNCTION("""COMPUTED_VALUE"""),2.0221025E7)</f>
        <v>20221025</v>
      </c>
      <c r="I404" s="3" t="str">
        <f>IFERROR(__xludf.DUMMYFUNCTION("""COMPUTED_VALUE"""),"visitudaipur")</f>
        <v>visitudaipur</v>
      </c>
      <c r="J404" s="3">
        <f>IFERROR(__xludf.DUMMYFUNCTION("""COMPUTED_VALUE"""),4565.0)</f>
        <v>4565</v>
      </c>
      <c r="K404" s="3" t="str">
        <f t="shared" ref="K404:L404" si="408">TRIM(F404)</f>
        <v>VfS</v>
      </c>
      <c r="L404" s="3" t="str">
        <f t="shared" si="408"/>
        <v>Instagram</v>
      </c>
      <c r="M404" s="3" t="str">
        <f t="shared" si="3"/>
        <v>Instagram</v>
      </c>
      <c r="N404" s="3" t="str">
        <f>IFERROR(__xludf.DUMMYFUNCTION("SPLIT(M404,""&amp;"")"),"Instagram")</f>
        <v>Instagram</v>
      </c>
      <c r="O404" s="3" t="str">
        <f t="shared" si="4"/>
        <v>Instagram</v>
      </c>
      <c r="P404" s="3" t="str">
        <f t="shared" si="5"/>
        <v>visitudaipur</v>
      </c>
      <c r="Q404" s="3" t="str">
        <f t="shared" si="6"/>
        <v>Visitudaipur</v>
      </c>
      <c r="R404" s="3">
        <f t="shared" si="7"/>
        <v>4565</v>
      </c>
    </row>
    <row r="405">
      <c r="A405" s="7" t="s">
        <v>140</v>
      </c>
      <c r="B405" s="8" t="s">
        <v>6</v>
      </c>
      <c r="C405" s="8">
        <v>43600.0</v>
      </c>
      <c r="E405" s="3" t="str">
        <f>IFERROR(__xludf.DUMMYFUNCTION("SPLIT(A405,""|"")")," VIN/OfflINe &amp;/20221028/Visitjodhpur/4566 ")</f>
        <v> VIN/OfflINe &amp;/20221028/Visitjodhpur/4566 </v>
      </c>
      <c r="F405" s="3" t="str">
        <f>IFERROR(__xludf.DUMMYFUNCTION("SPLIT(E405,""/"")")," VIN")</f>
        <v> VIN</v>
      </c>
      <c r="G405" s="3" t="str">
        <f>IFERROR(__xludf.DUMMYFUNCTION("""COMPUTED_VALUE"""),"OfflINe &amp;")</f>
        <v>OfflINe &amp;</v>
      </c>
      <c r="H405" s="3">
        <f>IFERROR(__xludf.DUMMYFUNCTION("""COMPUTED_VALUE"""),2.0221028E7)</f>
        <v>20221028</v>
      </c>
      <c r="I405" s="3" t="str">
        <f>IFERROR(__xludf.DUMMYFUNCTION("""COMPUTED_VALUE"""),"Visitjodhpur")</f>
        <v>Visitjodhpur</v>
      </c>
      <c r="J405" s="3">
        <f>IFERROR(__xludf.DUMMYFUNCTION("""COMPUTED_VALUE"""),4566.0)</f>
        <v>4566</v>
      </c>
      <c r="K405" s="3" t="str">
        <f t="shared" ref="K405:L405" si="409">TRIM(F405)</f>
        <v>VIN</v>
      </c>
      <c r="L405" s="3" t="str">
        <f t="shared" si="409"/>
        <v>OfflINe &amp;</v>
      </c>
      <c r="M405" s="3" t="str">
        <f t="shared" si="3"/>
        <v>Offline &amp;</v>
      </c>
      <c r="N405" s="3" t="str">
        <f>IFERROR(__xludf.DUMMYFUNCTION("SPLIT(M405,""&amp;"")"),"Offline ")</f>
        <v>Offline </v>
      </c>
      <c r="O405" s="3" t="str">
        <f t="shared" si="4"/>
        <v>Offline</v>
      </c>
      <c r="P405" s="3" t="str">
        <f t="shared" si="5"/>
        <v>Visitjodhpur</v>
      </c>
      <c r="Q405" s="3" t="str">
        <f t="shared" si="6"/>
        <v>Visitjodhpur</v>
      </c>
      <c r="R405" s="3">
        <f t="shared" si="7"/>
        <v>4566</v>
      </c>
    </row>
    <row r="406">
      <c r="A406" s="7" t="s">
        <v>141</v>
      </c>
      <c r="B406" s="8" t="s">
        <v>19</v>
      </c>
      <c r="C406" s="8">
        <v>70000.0</v>
      </c>
      <c r="E406" s="3" t="str">
        <f>IFERROR(__xludf.DUMMYFUNCTION("SPLIT(A406,""|"")")," CHQ/Facebook/20221101/Visitjaipur/5676 ")</f>
        <v> CHQ/Facebook/20221101/Visitjaipur/5676 </v>
      </c>
      <c r="F406" s="3" t="str">
        <f>IFERROR(__xludf.DUMMYFUNCTION("SPLIT(E406,""/"")")," CHQ")</f>
        <v> CHQ</v>
      </c>
      <c r="G406" s="3" t="str">
        <f>IFERROR(__xludf.DUMMYFUNCTION("""COMPUTED_VALUE"""),"Facebook")</f>
        <v>Facebook</v>
      </c>
      <c r="H406" s="3">
        <f>IFERROR(__xludf.DUMMYFUNCTION("""COMPUTED_VALUE"""),2.0221101E7)</f>
        <v>20221101</v>
      </c>
      <c r="I406" s="3" t="str">
        <f>IFERROR(__xludf.DUMMYFUNCTION("""COMPUTED_VALUE"""),"Visitjaipur")</f>
        <v>Visitjaipur</v>
      </c>
      <c r="J406" s="3">
        <f>IFERROR(__xludf.DUMMYFUNCTION("""COMPUTED_VALUE"""),5676.0)</f>
        <v>5676</v>
      </c>
      <c r="K406" s="3" t="str">
        <f t="shared" ref="K406:L406" si="410">TRIM(F406)</f>
        <v>CHQ</v>
      </c>
      <c r="L406" s="3" t="str">
        <f t="shared" si="410"/>
        <v>Facebook</v>
      </c>
      <c r="M406" s="3" t="str">
        <f t="shared" si="3"/>
        <v>Facebook</v>
      </c>
      <c r="N406" s="3" t="str">
        <f>IFERROR(__xludf.DUMMYFUNCTION("SPLIT(M406,""&amp;"")"),"Facebook")</f>
        <v>Facebook</v>
      </c>
      <c r="O406" s="3" t="str">
        <f t="shared" si="4"/>
        <v>Facebook</v>
      </c>
      <c r="P406" s="3" t="str">
        <f t="shared" si="5"/>
        <v>Visitjaipur</v>
      </c>
      <c r="Q406" s="3" t="str">
        <f t="shared" si="6"/>
        <v>Visitjaipur</v>
      </c>
      <c r="R406" s="3">
        <f t="shared" si="7"/>
        <v>5676</v>
      </c>
    </row>
    <row r="407">
      <c r="A407" s="7" t="s">
        <v>142</v>
      </c>
      <c r="B407" s="8" t="s">
        <v>19</v>
      </c>
      <c r="C407" s="8">
        <v>72000.0</v>
      </c>
      <c r="E407" s="3" t="str">
        <f>IFERROR(__xludf.DUMMYFUNCTION("SPLIT(A407,""|"")")," VfS/YouTube/20221104/Visitrajasthan/4564 ")</f>
        <v> VfS/YouTube/20221104/Visitrajasthan/4564 </v>
      </c>
      <c r="F407" s="3" t="str">
        <f>IFERROR(__xludf.DUMMYFUNCTION("SPLIT(E407,""/"")")," VfS")</f>
        <v> VfS</v>
      </c>
      <c r="G407" s="3" t="str">
        <f>IFERROR(__xludf.DUMMYFUNCTION("""COMPUTED_VALUE"""),"YouTube")</f>
        <v>YouTube</v>
      </c>
      <c r="H407" s="3">
        <f>IFERROR(__xludf.DUMMYFUNCTION("""COMPUTED_VALUE"""),2.0221104E7)</f>
        <v>20221104</v>
      </c>
      <c r="I407" s="3" t="str">
        <f>IFERROR(__xludf.DUMMYFUNCTION("""COMPUTED_VALUE"""),"Visitrajasthan")</f>
        <v>Visitrajasthan</v>
      </c>
      <c r="J407" s="3">
        <f>IFERROR(__xludf.DUMMYFUNCTION("""COMPUTED_VALUE"""),4564.0)</f>
        <v>4564</v>
      </c>
      <c r="K407" s="3" t="str">
        <f t="shared" ref="K407:L407" si="411">TRIM(F407)</f>
        <v>VfS</v>
      </c>
      <c r="L407" s="3" t="str">
        <f t="shared" si="411"/>
        <v>YouTube</v>
      </c>
      <c r="M407" s="3" t="str">
        <f t="shared" si="3"/>
        <v>Youtube</v>
      </c>
      <c r="N407" s="3" t="str">
        <f>IFERROR(__xludf.DUMMYFUNCTION("SPLIT(M407,""&amp;"")"),"Youtube")</f>
        <v>Youtube</v>
      </c>
      <c r="O407" s="3" t="str">
        <f t="shared" si="4"/>
        <v>Youtube</v>
      </c>
      <c r="P407" s="3" t="str">
        <f t="shared" si="5"/>
        <v>Visitrajasthan</v>
      </c>
      <c r="Q407" s="3" t="str">
        <f t="shared" si="6"/>
        <v>Visitrajasthan</v>
      </c>
      <c r="R407" s="3">
        <f t="shared" si="7"/>
        <v>4564</v>
      </c>
    </row>
    <row r="408">
      <c r="A408" s="7" t="s">
        <v>143</v>
      </c>
      <c r="B408" s="8" t="s">
        <v>19</v>
      </c>
      <c r="C408" s="8">
        <v>67400.0</v>
      </c>
      <c r="E408" s="3" t="str">
        <f>IFERROR(__xludf.DUMMYFUNCTION("SPLIT(A408,""|"")")," NEFT/Instagram/20221107/visitudaipur/4565 ")</f>
        <v> NEFT/Instagram/20221107/visitudaipur/4565 </v>
      </c>
      <c r="F408" s="3" t="str">
        <f>IFERROR(__xludf.DUMMYFUNCTION("SPLIT(E408,""/"")")," NEFT")</f>
        <v> NEFT</v>
      </c>
      <c r="G408" s="3" t="str">
        <f>IFERROR(__xludf.DUMMYFUNCTION("""COMPUTED_VALUE"""),"Instagram")</f>
        <v>Instagram</v>
      </c>
      <c r="H408" s="3">
        <f>IFERROR(__xludf.DUMMYFUNCTION("""COMPUTED_VALUE"""),2.0221107E7)</f>
        <v>20221107</v>
      </c>
      <c r="I408" s="3" t="str">
        <f>IFERROR(__xludf.DUMMYFUNCTION("""COMPUTED_VALUE"""),"visitudaipur")</f>
        <v>visitudaipur</v>
      </c>
      <c r="J408" s="3">
        <f>IFERROR(__xludf.DUMMYFUNCTION("""COMPUTED_VALUE"""),4565.0)</f>
        <v>4565</v>
      </c>
      <c r="K408" s="3" t="str">
        <f t="shared" ref="K408:L408" si="412">TRIM(F408)</f>
        <v>NEFT</v>
      </c>
      <c r="L408" s="3" t="str">
        <f t="shared" si="412"/>
        <v>Instagram</v>
      </c>
      <c r="M408" s="3" t="str">
        <f t="shared" si="3"/>
        <v>Instagram</v>
      </c>
      <c r="N408" s="3" t="str">
        <f>IFERROR(__xludf.DUMMYFUNCTION("SPLIT(M408,""&amp;"")"),"Instagram")</f>
        <v>Instagram</v>
      </c>
      <c r="O408" s="3" t="str">
        <f t="shared" si="4"/>
        <v>Instagram</v>
      </c>
      <c r="P408" s="3" t="str">
        <f t="shared" si="5"/>
        <v>visitudaipur</v>
      </c>
      <c r="Q408" s="3" t="str">
        <f t="shared" si="6"/>
        <v>Visitudaipur</v>
      </c>
      <c r="R408" s="3">
        <f t="shared" si="7"/>
        <v>4565</v>
      </c>
    </row>
    <row r="409">
      <c r="A409" s="7" t="s">
        <v>144</v>
      </c>
      <c r="B409" s="8" t="s">
        <v>19</v>
      </c>
      <c r="C409" s="8">
        <v>27900.0</v>
      </c>
      <c r="E409" s="3" t="str">
        <f>IFERROR(__xludf.DUMMYFUNCTION("SPLIT(A409,""|"")")," CHQ/Offline &amp;/20221110/Visitjodhpur/4566 ")</f>
        <v> CHQ/Offline &amp;/20221110/Visitjodhpur/4566 </v>
      </c>
      <c r="F409" s="3" t="str">
        <f>IFERROR(__xludf.DUMMYFUNCTION("SPLIT(E409,""/"")")," CHQ")</f>
        <v> CHQ</v>
      </c>
      <c r="G409" s="3" t="str">
        <f>IFERROR(__xludf.DUMMYFUNCTION("""COMPUTED_VALUE"""),"Offline &amp;")</f>
        <v>Offline &amp;</v>
      </c>
      <c r="H409" s="3">
        <f>IFERROR(__xludf.DUMMYFUNCTION("""COMPUTED_VALUE"""),2.022111E7)</f>
        <v>20221110</v>
      </c>
      <c r="I409" s="3" t="str">
        <f>IFERROR(__xludf.DUMMYFUNCTION("""COMPUTED_VALUE"""),"Visitjodhpur")</f>
        <v>Visitjodhpur</v>
      </c>
      <c r="J409" s="3">
        <f>IFERROR(__xludf.DUMMYFUNCTION("""COMPUTED_VALUE"""),4566.0)</f>
        <v>4566</v>
      </c>
      <c r="K409" s="3" t="str">
        <f t="shared" ref="K409:L409" si="413">TRIM(F409)</f>
        <v>CHQ</v>
      </c>
      <c r="L409" s="3" t="str">
        <f t="shared" si="413"/>
        <v>Offline &amp;</v>
      </c>
      <c r="M409" s="3" t="str">
        <f t="shared" si="3"/>
        <v>Offline &amp;</v>
      </c>
      <c r="N409" s="3" t="str">
        <f>IFERROR(__xludf.DUMMYFUNCTION("SPLIT(M409,""&amp;"")"),"Offline ")</f>
        <v>Offline </v>
      </c>
      <c r="O409" s="3" t="str">
        <f t="shared" si="4"/>
        <v>Offline</v>
      </c>
      <c r="P409" s="3" t="str">
        <f t="shared" si="5"/>
        <v>Visitjodhpur</v>
      </c>
      <c r="Q409" s="3" t="str">
        <f t="shared" si="6"/>
        <v>Visitjodhpur</v>
      </c>
      <c r="R409" s="3">
        <f t="shared" si="7"/>
        <v>4566</v>
      </c>
    </row>
    <row r="410">
      <c r="A410" s="7" t="s">
        <v>145</v>
      </c>
      <c r="B410" s="8" t="s">
        <v>19</v>
      </c>
      <c r="C410" s="8">
        <v>74700.0</v>
      </c>
      <c r="E410" s="3" t="str">
        <f>IFERROR(__xludf.DUMMYFUNCTION("SPLIT(A410,""|"")")," VfS/Google Ads/20221113/visitJaisalmer/3455 ")</f>
        <v> VfS/Google Ads/20221113/visitJaisalmer/3455 </v>
      </c>
      <c r="F410" s="3" t="str">
        <f>IFERROR(__xludf.DUMMYFUNCTION("SPLIT(E410,""/"")")," VfS")</f>
        <v> VfS</v>
      </c>
      <c r="G410" s="3" t="str">
        <f>IFERROR(__xludf.DUMMYFUNCTION("""COMPUTED_VALUE"""),"Google Ads")</f>
        <v>Google Ads</v>
      </c>
      <c r="H410" s="3">
        <f>IFERROR(__xludf.DUMMYFUNCTION("""COMPUTED_VALUE"""),2.0221113E7)</f>
        <v>20221113</v>
      </c>
      <c r="I410" s="3" t="str">
        <f>IFERROR(__xludf.DUMMYFUNCTION("""COMPUTED_VALUE"""),"visitJaisalmer")</f>
        <v>visitJaisalmer</v>
      </c>
      <c r="J410" s="3">
        <f>IFERROR(__xludf.DUMMYFUNCTION("""COMPUTED_VALUE"""),3455.0)</f>
        <v>3455</v>
      </c>
      <c r="K410" s="3" t="str">
        <f t="shared" ref="K410:L410" si="414">TRIM(F410)</f>
        <v>VfS</v>
      </c>
      <c r="L410" s="3" t="str">
        <f t="shared" si="414"/>
        <v>Google Ads</v>
      </c>
      <c r="M410" s="3" t="str">
        <f t="shared" si="3"/>
        <v>Google Ads</v>
      </c>
      <c r="N410" s="3" t="str">
        <f>IFERROR(__xludf.DUMMYFUNCTION("SPLIT(M410,""&amp;"")"),"Google Ads")</f>
        <v>Google Ads</v>
      </c>
      <c r="O410" s="3" t="str">
        <f t="shared" si="4"/>
        <v>Google Ads</v>
      </c>
      <c r="P410" s="3" t="str">
        <f t="shared" si="5"/>
        <v>visitJaisalmer</v>
      </c>
      <c r="Q410" s="3" t="str">
        <f t="shared" si="6"/>
        <v>Visitjaisalmer</v>
      </c>
      <c r="R410" s="3">
        <f t="shared" si="7"/>
        <v>3455</v>
      </c>
    </row>
    <row r="411">
      <c r="A411" s="7" t="s">
        <v>146</v>
      </c>
      <c r="B411" s="8" t="s">
        <v>19</v>
      </c>
      <c r="C411" s="8">
        <v>76600.0</v>
      </c>
      <c r="E411" s="3" t="str">
        <f>IFERROR(__xludf.DUMMYFUNCTION("SPLIT(A411,""|"")")," VIN/TwiTter/20221116/visitbikaner/5666 ")</f>
        <v> VIN/TwiTter/20221116/visitbikaner/5666 </v>
      </c>
      <c r="F411" s="3" t="str">
        <f>IFERROR(__xludf.DUMMYFUNCTION("SPLIT(E411,""/"")")," VIN")</f>
        <v> VIN</v>
      </c>
      <c r="G411" s="3" t="str">
        <f>IFERROR(__xludf.DUMMYFUNCTION("""COMPUTED_VALUE"""),"TwiTter")</f>
        <v>TwiTter</v>
      </c>
      <c r="H411" s="3">
        <f>IFERROR(__xludf.DUMMYFUNCTION("""COMPUTED_VALUE"""),2.0221116E7)</f>
        <v>20221116</v>
      </c>
      <c r="I411" s="3" t="str">
        <f>IFERROR(__xludf.DUMMYFUNCTION("""COMPUTED_VALUE"""),"visitbikaner")</f>
        <v>visitbikaner</v>
      </c>
      <c r="J411" s="3">
        <f>IFERROR(__xludf.DUMMYFUNCTION("""COMPUTED_VALUE"""),5666.0)</f>
        <v>5666</v>
      </c>
      <c r="K411" s="3" t="str">
        <f t="shared" ref="K411:L411" si="415">TRIM(F411)</f>
        <v>VIN</v>
      </c>
      <c r="L411" s="3" t="str">
        <f t="shared" si="415"/>
        <v>TwiTter</v>
      </c>
      <c r="M411" s="3" t="str">
        <f t="shared" si="3"/>
        <v>Twitter</v>
      </c>
      <c r="N411" s="3" t="str">
        <f>IFERROR(__xludf.DUMMYFUNCTION("SPLIT(M411,""&amp;"")"),"Twitter")</f>
        <v>Twitter</v>
      </c>
      <c r="O411" s="3" t="str">
        <f t="shared" si="4"/>
        <v>Twitter</v>
      </c>
      <c r="P411" s="3" t="str">
        <f t="shared" si="5"/>
        <v>visitbikaner</v>
      </c>
      <c r="Q411" s="3" t="str">
        <f t="shared" si="6"/>
        <v>Visitbikaner</v>
      </c>
      <c r="R411" s="3">
        <f t="shared" si="7"/>
        <v>5666</v>
      </c>
    </row>
    <row r="412">
      <c r="A412" s="7" t="s">
        <v>147</v>
      </c>
      <c r="B412" s="8" t="s">
        <v>19</v>
      </c>
      <c r="C412" s="8">
        <v>62900.0</v>
      </c>
      <c r="E412" s="3" t="str">
        <f>IFERROR(__xludf.DUMMYFUNCTION("SPLIT(A412,""|"")")," NEFT/Facebook/20221119/Visitjaipur/5676 ")</f>
        <v> NEFT/Facebook/20221119/Visitjaipur/5676 </v>
      </c>
      <c r="F412" s="3" t="str">
        <f>IFERROR(__xludf.DUMMYFUNCTION("SPLIT(E412,""/"")")," NEFT")</f>
        <v> NEFT</v>
      </c>
      <c r="G412" s="3" t="str">
        <f>IFERROR(__xludf.DUMMYFUNCTION("""COMPUTED_VALUE"""),"Facebook")</f>
        <v>Facebook</v>
      </c>
      <c r="H412" s="3">
        <f>IFERROR(__xludf.DUMMYFUNCTION("""COMPUTED_VALUE"""),2.0221119E7)</f>
        <v>20221119</v>
      </c>
      <c r="I412" s="3" t="str">
        <f>IFERROR(__xludf.DUMMYFUNCTION("""COMPUTED_VALUE"""),"Visitjaipur")</f>
        <v>Visitjaipur</v>
      </c>
      <c r="J412" s="3">
        <f>IFERROR(__xludf.DUMMYFUNCTION("""COMPUTED_VALUE"""),5676.0)</f>
        <v>5676</v>
      </c>
      <c r="K412" s="3" t="str">
        <f t="shared" ref="K412:L412" si="416">TRIM(F412)</f>
        <v>NEFT</v>
      </c>
      <c r="L412" s="3" t="str">
        <f t="shared" si="416"/>
        <v>Facebook</v>
      </c>
      <c r="M412" s="3" t="str">
        <f t="shared" si="3"/>
        <v>Facebook</v>
      </c>
      <c r="N412" s="3" t="str">
        <f>IFERROR(__xludf.DUMMYFUNCTION("SPLIT(M412,""&amp;"")"),"Facebook")</f>
        <v>Facebook</v>
      </c>
      <c r="O412" s="3" t="str">
        <f t="shared" si="4"/>
        <v>Facebook</v>
      </c>
      <c r="P412" s="3" t="str">
        <f t="shared" si="5"/>
        <v>Visitjaipur</v>
      </c>
      <c r="Q412" s="3" t="str">
        <f t="shared" si="6"/>
        <v>Visitjaipur</v>
      </c>
      <c r="R412" s="3">
        <f t="shared" si="7"/>
        <v>5676</v>
      </c>
    </row>
    <row r="413">
      <c r="A413" s="7" t="s">
        <v>148</v>
      </c>
      <c r="B413" s="8" t="s">
        <v>19</v>
      </c>
      <c r="C413" s="8">
        <v>40800.0</v>
      </c>
      <c r="E413" s="3" t="str">
        <f>IFERROR(__xludf.DUMMYFUNCTION("SPLIT(A413,""|"")")," CHQ/YouTube &amp;/20221122/Visitrajasthan/4564 ")</f>
        <v> CHQ/YouTube &amp;/20221122/Visitrajasthan/4564 </v>
      </c>
      <c r="F413" s="3" t="str">
        <f>IFERROR(__xludf.DUMMYFUNCTION("SPLIT(E413,""/"")")," CHQ")</f>
        <v> CHQ</v>
      </c>
      <c r="G413" s="3" t="str">
        <f>IFERROR(__xludf.DUMMYFUNCTION("""COMPUTED_VALUE"""),"YouTube &amp;")</f>
        <v>YouTube &amp;</v>
      </c>
      <c r="H413" s="3">
        <f>IFERROR(__xludf.DUMMYFUNCTION("""COMPUTED_VALUE"""),2.0221122E7)</f>
        <v>20221122</v>
      </c>
      <c r="I413" s="3" t="str">
        <f>IFERROR(__xludf.DUMMYFUNCTION("""COMPUTED_VALUE"""),"Visitrajasthan")</f>
        <v>Visitrajasthan</v>
      </c>
      <c r="J413" s="3">
        <f>IFERROR(__xludf.DUMMYFUNCTION("""COMPUTED_VALUE"""),4564.0)</f>
        <v>4564</v>
      </c>
      <c r="K413" s="3" t="str">
        <f t="shared" ref="K413:L413" si="417">TRIM(F413)</f>
        <v>CHQ</v>
      </c>
      <c r="L413" s="3" t="str">
        <f t="shared" si="417"/>
        <v>YouTube &amp;</v>
      </c>
      <c r="M413" s="3" t="str">
        <f t="shared" si="3"/>
        <v>Youtube &amp;</v>
      </c>
      <c r="N413" s="3" t="str">
        <f>IFERROR(__xludf.DUMMYFUNCTION("SPLIT(M413,""&amp;"")"),"Youtube ")</f>
        <v>Youtube </v>
      </c>
      <c r="O413" s="3" t="str">
        <f t="shared" si="4"/>
        <v>Youtube</v>
      </c>
      <c r="P413" s="3" t="str">
        <f t="shared" si="5"/>
        <v>Visitrajasthan</v>
      </c>
      <c r="Q413" s="3" t="str">
        <f t="shared" si="6"/>
        <v>Visitrajasthan</v>
      </c>
      <c r="R413" s="3">
        <f t="shared" si="7"/>
        <v>4564</v>
      </c>
    </row>
    <row r="414">
      <c r="A414" s="7" t="s">
        <v>149</v>
      </c>
      <c r="B414" s="8" t="s">
        <v>19</v>
      </c>
      <c r="C414" s="8">
        <v>45400.0</v>
      </c>
      <c r="E414" s="3" t="str">
        <f>IFERROR(__xludf.DUMMYFUNCTION("SPLIT(A414,""|"")")," VfS/Instagram/20221125/visitudaipur/4565 ")</f>
        <v> VfS/Instagram/20221125/visitudaipur/4565 </v>
      </c>
      <c r="F414" s="3" t="str">
        <f>IFERROR(__xludf.DUMMYFUNCTION("SPLIT(E414,""/"")")," VfS")</f>
        <v> VfS</v>
      </c>
      <c r="G414" s="3" t="str">
        <f>IFERROR(__xludf.DUMMYFUNCTION("""COMPUTED_VALUE"""),"Instagram")</f>
        <v>Instagram</v>
      </c>
      <c r="H414" s="3">
        <f>IFERROR(__xludf.DUMMYFUNCTION("""COMPUTED_VALUE"""),2.0221125E7)</f>
        <v>20221125</v>
      </c>
      <c r="I414" s="3" t="str">
        <f>IFERROR(__xludf.DUMMYFUNCTION("""COMPUTED_VALUE"""),"visitudaipur")</f>
        <v>visitudaipur</v>
      </c>
      <c r="J414" s="3">
        <f>IFERROR(__xludf.DUMMYFUNCTION("""COMPUTED_VALUE"""),4565.0)</f>
        <v>4565</v>
      </c>
      <c r="K414" s="3" t="str">
        <f t="shared" ref="K414:L414" si="418">TRIM(F414)</f>
        <v>VfS</v>
      </c>
      <c r="L414" s="3" t="str">
        <f t="shared" si="418"/>
        <v>Instagram</v>
      </c>
      <c r="M414" s="3" t="str">
        <f t="shared" si="3"/>
        <v>Instagram</v>
      </c>
      <c r="N414" s="3" t="str">
        <f>IFERROR(__xludf.DUMMYFUNCTION("SPLIT(M414,""&amp;"")"),"Instagram")</f>
        <v>Instagram</v>
      </c>
      <c r="O414" s="3" t="str">
        <f t="shared" si="4"/>
        <v>Instagram</v>
      </c>
      <c r="P414" s="3" t="str">
        <f t="shared" si="5"/>
        <v>visitudaipur</v>
      </c>
      <c r="Q414" s="3" t="str">
        <f t="shared" si="6"/>
        <v>Visitudaipur</v>
      </c>
      <c r="R414" s="3">
        <f t="shared" si="7"/>
        <v>4565</v>
      </c>
    </row>
    <row r="415">
      <c r="A415" s="7" t="s">
        <v>150</v>
      </c>
      <c r="B415" s="8" t="s">
        <v>19</v>
      </c>
      <c r="C415" s="8">
        <v>88300.0</v>
      </c>
      <c r="E415" s="3" t="str">
        <f>IFERROR(__xludf.DUMMYFUNCTION("SPLIT(A415,""|"")")," VIN/OfflINe &amp;/20221128/Visitjodhpur/4566 ")</f>
        <v> VIN/OfflINe &amp;/20221128/Visitjodhpur/4566 </v>
      </c>
      <c r="F415" s="3" t="str">
        <f>IFERROR(__xludf.DUMMYFUNCTION("SPLIT(E415,""/"")")," VIN")</f>
        <v> VIN</v>
      </c>
      <c r="G415" s="3" t="str">
        <f>IFERROR(__xludf.DUMMYFUNCTION("""COMPUTED_VALUE"""),"OfflINe &amp;")</f>
        <v>OfflINe &amp;</v>
      </c>
      <c r="H415" s="3">
        <f>IFERROR(__xludf.DUMMYFUNCTION("""COMPUTED_VALUE"""),2.0221128E7)</f>
        <v>20221128</v>
      </c>
      <c r="I415" s="3" t="str">
        <f>IFERROR(__xludf.DUMMYFUNCTION("""COMPUTED_VALUE"""),"Visitjodhpur")</f>
        <v>Visitjodhpur</v>
      </c>
      <c r="J415" s="3">
        <f>IFERROR(__xludf.DUMMYFUNCTION("""COMPUTED_VALUE"""),4566.0)</f>
        <v>4566</v>
      </c>
      <c r="K415" s="3" t="str">
        <f t="shared" ref="K415:L415" si="419">TRIM(F415)</f>
        <v>VIN</v>
      </c>
      <c r="L415" s="3" t="str">
        <f t="shared" si="419"/>
        <v>OfflINe &amp;</v>
      </c>
      <c r="M415" s="3" t="str">
        <f t="shared" si="3"/>
        <v>Offline &amp;</v>
      </c>
      <c r="N415" s="3" t="str">
        <f>IFERROR(__xludf.DUMMYFUNCTION("SPLIT(M415,""&amp;"")"),"Offline ")</f>
        <v>Offline </v>
      </c>
      <c r="O415" s="3" t="str">
        <f t="shared" si="4"/>
        <v>Offline</v>
      </c>
      <c r="P415" s="3" t="str">
        <f t="shared" si="5"/>
        <v>Visitjodhpur</v>
      </c>
      <c r="Q415" s="3" t="str">
        <f t="shared" si="6"/>
        <v>Visitjodhpur</v>
      </c>
      <c r="R415" s="3">
        <f t="shared" si="7"/>
        <v>4566</v>
      </c>
    </row>
    <row r="416">
      <c r="A416" s="7" t="s">
        <v>121</v>
      </c>
      <c r="B416" s="8" t="s">
        <v>20</v>
      </c>
      <c r="C416" s="8">
        <v>88800.0</v>
      </c>
      <c r="E416" s="3" t="str">
        <f>IFERROR(__xludf.DUMMYFUNCTION("SPLIT(A416,""|"")")," CHQ/Facebook/20221201/Visitjaipur/5676 ")</f>
        <v> CHQ/Facebook/20221201/Visitjaipur/5676 </v>
      </c>
      <c r="F416" s="3" t="str">
        <f>IFERROR(__xludf.DUMMYFUNCTION("SPLIT(E416,""/"")")," CHQ")</f>
        <v> CHQ</v>
      </c>
      <c r="G416" s="3" t="str">
        <f>IFERROR(__xludf.DUMMYFUNCTION("""COMPUTED_VALUE"""),"Facebook")</f>
        <v>Facebook</v>
      </c>
      <c r="H416" s="3">
        <f>IFERROR(__xludf.DUMMYFUNCTION("""COMPUTED_VALUE"""),2.0221201E7)</f>
        <v>20221201</v>
      </c>
      <c r="I416" s="3" t="str">
        <f>IFERROR(__xludf.DUMMYFUNCTION("""COMPUTED_VALUE"""),"Visitjaipur")</f>
        <v>Visitjaipur</v>
      </c>
      <c r="J416" s="3">
        <f>IFERROR(__xludf.DUMMYFUNCTION("""COMPUTED_VALUE"""),5676.0)</f>
        <v>5676</v>
      </c>
      <c r="K416" s="3" t="str">
        <f t="shared" ref="K416:L416" si="420">TRIM(F416)</f>
        <v>CHQ</v>
      </c>
      <c r="L416" s="3" t="str">
        <f t="shared" si="420"/>
        <v>Facebook</v>
      </c>
      <c r="M416" s="3" t="str">
        <f t="shared" si="3"/>
        <v>Facebook</v>
      </c>
      <c r="N416" s="3" t="str">
        <f>IFERROR(__xludf.DUMMYFUNCTION("SPLIT(M416,""&amp;"")"),"Facebook")</f>
        <v>Facebook</v>
      </c>
      <c r="O416" s="3" t="str">
        <f t="shared" si="4"/>
        <v>Facebook</v>
      </c>
      <c r="P416" s="3" t="str">
        <f t="shared" si="5"/>
        <v>Visitjaipur</v>
      </c>
      <c r="Q416" s="3" t="str">
        <f t="shared" si="6"/>
        <v>Visitjaipur</v>
      </c>
      <c r="R416" s="3">
        <f t="shared" si="7"/>
        <v>5676</v>
      </c>
    </row>
    <row r="417">
      <c r="A417" s="7" t="s">
        <v>122</v>
      </c>
      <c r="B417" s="8" t="s">
        <v>20</v>
      </c>
      <c r="C417" s="8">
        <v>49600.0</v>
      </c>
      <c r="E417" s="3" t="str">
        <f>IFERROR(__xludf.DUMMYFUNCTION("SPLIT(A417,""|"")")," VfS/YouTube/20221204/Visitrajasthan/4564 ")</f>
        <v> VfS/YouTube/20221204/Visitrajasthan/4564 </v>
      </c>
      <c r="F417" s="3" t="str">
        <f>IFERROR(__xludf.DUMMYFUNCTION("SPLIT(E417,""/"")")," VfS")</f>
        <v> VfS</v>
      </c>
      <c r="G417" s="3" t="str">
        <f>IFERROR(__xludf.DUMMYFUNCTION("""COMPUTED_VALUE"""),"YouTube")</f>
        <v>YouTube</v>
      </c>
      <c r="H417" s="3">
        <f>IFERROR(__xludf.DUMMYFUNCTION("""COMPUTED_VALUE"""),2.0221204E7)</f>
        <v>20221204</v>
      </c>
      <c r="I417" s="3" t="str">
        <f>IFERROR(__xludf.DUMMYFUNCTION("""COMPUTED_VALUE"""),"Visitrajasthan")</f>
        <v>Visitrajasthan</v>
      </c>
      <c r="J417" s="3">
        <f>IFERROR(__xludf.DUMMYFUNCTION("""COMPUTED_VALUE"""),4564.0)</f>
        <v>4564</v>
      </c>
      <c r="K417" s="3" t="str">
        <f t="shared" ref="K417:L417" si="421">TRIM(F417)</f>
        <v>VfS</v>
      </c>
      <c r="L417" s="3" t="str">
        <f t="shared" si="421"/>
        <v>YouTube</v>
      </c>
      <c r="M417" s="3" t="str">
        <f t="shared" si="3"/>
        <v>Youtube</v>
      </c>
      <c r="N417" s="3" t="str">
        <f>IFERROR(__xludf.DUMMYFUNCTION("SPLIT(M417,""&amp;"")"),"Youtube")</f>
        <v>Youtube</v>
      </c>
      <c r="O417" s="3" t="str">
        <f t="shared" si="4"/>
        <v>Youtube</v>
      </c>
      <c r="P417" s="3" t="str">
        <f t="shared" si="5"/>
        <v>Visitrajasthan</v>
      </c>
      <c r="Q417" s="3" t="str">
        <f t="shared" si="6"/>
        <v>Visitrajasthan</v>
      </c>
      <c r="R417" s="3">
        <f t="shared" si="7"/>
        <v>4564</v>
      </c>
    </row>
    <row r="418">
      <c r="A418" s="7" t="s">
        <v>123</v>
      </c>
      <c r="B418" s="8" t="s">
        <v>20</v>
      </c>
      <c r="C418" s="8">
        <v>55000.0</v>
      </c>
      <c r="E418" s="3" t="str">
        <f>IFERROR(__xludf.DUMMYFUNCTION("SPLIT(A418,""|"")")," NEFT/Instagram/20221207/visitudaipur/4565 ")</f>
        <v> NEFT/Instagram/20221207/visitudaipur/4565 </v>
      </c>
      <c r="F418" s="3" t="str">
        <f>IFERROR(__xludf.DUMMYFUNCTION("SPLIT(E418,""/"")")," NEFT")</f>
        <v> NEFT</v>
      </c>
      <c r="G418" s="3" t="str">
        <f>IFERROR(__xludf.DUMMYFUNCTION("""COMPUTED_VALUE"""),"Instagram")</f>
        <v>Instagram</v>
      </c>
      <c r="H418" s="3">
        <f>IFERROR(__xludf.DUMMYFUNCTION("""COMPUTED_VALUE"""),2.0221207E7)</f>
        <v>20221207</v>
      </c>
      <c r="I418" s="3" t="str">
        <f>IFERROR(__xludf.DUMMYFUNCTION("""COMPUTED_VALUE"""),"visitudaipur")</f>
        <v>visitudaipur</v>
      </c>
      <c r="J418" s="3">
        <f>IFERROR(__xludf.DUMMYFUNCTION("""COMPUTED_VALUE"""),4565.0)</f>
        <v>4565</v>
      </c>
      <c r="K418" s="3" t="str">
        <f t="shared" ref="K418:L418" si="422">TRIM(F418)</f>
        <v>NEFT</v>
      </c>
      <c r="L418" s="3" t="str">
        <f t="shared" si="422"/>
        <v>Instagram</v>
      </c>
      <c r="M418" s="3" t="str">
        <f t="shared" si="3"/>
        <v>Instagram</v>
      </c>
      <c r="N418" s="3" t="str">
        <f>IFERROR(__xludf.DUMMYFUNCTION("SPLIT(M418,""&amp;"")"),"Instagram")</f>
        <v>Instagram</v>
      </c>
      <c r="O418" s="3" t="str">
        <f t="shared" si="4"/>
        <v>Instagram</v>
      </c>
      <c r="P418" s="3" t="str">
        <f t="shared" si="5"/>
        <v>visitudaipur</v>
      </c>
      <c r="Q418" s="3" t="str">
        <f t="shared" si="6"/>
        <v>Visitudaipur</v>
      </c>
      <c r="R418" s="3">
        <f t="shared" si="7"/>
        <v>4565</v>
      </c>
    </row>
    <row r="419">
      <c r="A419" s="7" t="s">
        <v>124</v>
      </c>
      <c r="B419" s="8" t="s">
        <v>20</v>
      </c>
      <c r="C419" s="8">
        <v>64200.0</v>
      </c>
      <c r="E419" s="3" t="str">
        <f>IFERROR(__xludf.DUMMYFUNCTION("SPLIT(A419,""|"")")," CHQ/Offline &amp;/20221210/Visitjodhpur/4566 ")</f>
        <v> CHQ/Offline &amp;/20221210/Visitjodhpur/4566 </v>
      </c>
      <c r="F419" s="3" t="str">
        <f>IFERROR(__xludf.DUMMYFUNCTION("SPLIT(E419,""/"")")," CHQ")</f>
        <v> CHQ</v>
      </c>
      <c r="G419" s="3" t="str">
        <f>IFERROR(__xludf.DUMMYFUNCTION("""COMPUTED_VALUE"""),"Offline &amp;")</f>
        <v>Offline &amp;</v>
      </c>
      <c r="H419" s="3">
        <f>IFERROR(__xludf.DUMMYFUNCTION("""COMPUTED_VALUE"""),2.022121E7)</f>
        <v>20221210</v>
      </c>
      <c r="I419" s="3" t="str">
        <f>IFERROR(__xludf.DUMMYFUNCTION("""COMPUTED_VALUE"""),"Visitjodhpur")</f>
        <v>Visitjodhpur</v>
      </c>
      <c r="J419" s="3">
        <f>IFERROR(__xludf.DUMMYFUNCTION("""COMPUTED_VALUE"""),4566.0)</f>
        <v>4566</v>
      </c>
      <c r="K419" s="3" t="str">
        <f t="shared" ref="K419:L419" si="423">TRIM(F419)</f>
        <v>CHQ</v>
      </c>
      <c r="L419" s="3" t="str">
        <f t="shared" si="423"/>
        <v>Offline &amp;</v>
      </c>
      <c r="M419" s="3" t="str">
        <f t="shared" si="3"/>
        <v>Offline &amp;</v>
      </c>
      <c r="N419" s="3" t="str">
        <f>IFERROR(__xludf.DUMMYFUNCTION("SPLIT(M419,""&amp;"")"),"Offline ")</f>
        <v>Offline </v>
      </c>
      <c r="O419" s="3" t="str">
        <f t="shared" si="4"/>
        <v>Offline</v>
      </c>
      <c r="P419" s="3" t="str">
        <f t="shared" si="5"/>
        <v>Visitjodhpur</v>
      </c>
      <c r="Q419" s="3" t="str">
        <f t="shared" si="6"/>
        <v>Visitjodhpur</v>
      </c>
      <c r="R419" s="3">
        <f t="shared" si="7"/>
        <v>4566</v>
      </c>
    </row>
    <row r="420">
      <c r="A420" s="7" t="s">
        <v>125</v>
      </c>
      <c r="B420" s="8" t="s">
        <v>20</v>
      </c>
      <c r="C420" s="8">
        <v>19400.0</v>
      </c>
      <c r="E420" s="3" t="str">
        <f>IFERROR(__xludf.DUMMYFUNCTION("SPLIT(A420,""|"")")," VfS/Google Ads/20221213/visitJaisalmer/3455 ")</f>
        <v> VfS/Google Ads/20221213/visitJaisalmer/3455 </v>
      </c>
      <c r="F420" s="3" t="str">
        <f>IFERROR(__xludf.DUMMYFUNCTION("SPLIT(E420,""/"")")," VfS")</f>
        <v> VfS</v>
      </c>
      <c r="G420" s="3" t="str">
        <f>IFERROR(__xludf.DUMMYFUNCTION("""COMPUTED_VALUE"""),"Google Ads")</f>
        <v>Google Ads</v>
      </c>
      <c r="H420" s="3">
        <f>IFERROR(__xludf.DUMMYFUNCTION("""COMPUTED_VALUE"""),2.0221213E7)</f>
        <v>20221213</v>
      </c>
      <c r="I420" s="3" t="str">
        <f>IFERROR(__xludf.DUMMYFUNCTION("""COMPUTED_VALUE"""),"visitJaisalmer")</f>
        <v>visitJaisalmer</v>
      </c>
      <c r="J420" s="3">
        <f>IFERROR(__xludf.DUMMYFUNCTION("""COMPUTED_VALUE"""),3455.0)</f>
        <v>3455</v>
      </c>
      <c r="K420" s="3" t="str">
        <f t="shared" ref="K420:L420" si="424">TRIM(F420)</f>
        <v>VfS</v>
      </c>
      <c r="L420" s="3" t="str">
        <f t="shared" si="424"/>
        <v>Google Ads</v>
      </c>
      <c r="M420" s="3" t="str">
        <f t="shared" si="3"/>
        <v>Google Ads</v>
      </c>
      <c r="N420" s="3" t="str">
        <f>IFERROR(__xludf.DUMMYFUNCTION("SPLIT(M420,""&amp;"")"),"Google Ads")</f>
        <v>Google Ads</v>
      </c>
      <c r="O420" s="3" t="str">
        <f t="shared" si="4"/>
        <v>Google Ads</v>
      </c>
      <c r="P420" s="3" t="str">
        <f t="shared" si="5"/>
        <v>visitJaisalmer</v>
      </c>
      <c r="Q420" s="3" t="str">
        <f t="shared" si="6"/>
        <v>Visitjaisalmer</v>
      </c>
      <c r="R420" s="3">
        <f t="shared" si="7"/>
        <v>3455</v>
      </c>
    </row>
    <row r="421">
      <c r="A421" s="7" t="s">
        <v>126</v>
      </c>
      <c r="B421" s="8" t="s">
        <v>20</v>
      </c>
      <c r="C421" s="8">
        <v>71000.0</v>
      </c>
      <c r="E421" s="3" t="str">
        <f>IFERROR(__xludf.DUMMYFUNCTION("SPLIT(A421,""|"")")," VIN/TwiTter/20221216/visitbikaner/5666 ")</f>
        <v> VIN/TwiTter/20221216/visitbikaner/5666 </v>
      </c>
      <c r="F421" s="3" t="str">
        <f>IFERROR(__xludf.DUMMYFUNCTION("SPLIT(E421,""/"")")," VIN")</f>
        <v> VIN</v>
      </c>
      <c r="G421" s="3" t="str">
        <f>IFERROR(__xludf.DUMMYFUNCTION("""COMPUTED_VALUE"""),"TwiTter")</f>
        <v>TwiTter</v>
      </c>
      <c r="H421" s="3">
        <f>IFERROR(__xludf.DUMMYFUNCTION("""COMPUTED_VALUE"""),2.0221216E7)</f>
        <v>20221216</v>
      </c>
      <c r="I421" s="3" t="str">
        <f>IFERROR(__xludf.DUMMYFUNCTION("""COMPUTED_VALUE"""),"visitbikaner")</f>
        <v>visitbikaner</v>
      </c>
      <c r="J421" s="3">
        <f>IFERROR(__xludf.DUMMYFUNCTION("""COMPUTED_VALUE"""),5666.0)</f>
        <v>5666</v>
      </c>
      <c r="K421" s="3" t="str">
        <f t="shared" ref="K421:L421" si="425">TRIM(F421)</f>
        <v>VIN</v>
      </c>
      <c r="L421" s="3" t="str">
        <f t="shared" si="425"/>
        <v>TwiTter</v>
      </c>
      <c r="M421" s="3" t="str">
        <f t="shared" si="3"/>
        <v>Twitter</v>
      </c>
      <c r="N421" s="3" t="str">
        <f>IFERROR(__xludf.DUMMYFUNCTION("SPLIT(M421,""&amp;"")"),"Twitter")</f>
        <v>Twitter</v>
      </c>
      <c r="O421" s="3" t="str">
        <f t="shared" si="4"/>
        <v>Twitter</v>
      </c>
      <c r="P421" s="3" t="str">
        <f t="shared" si="5"/>
        <v>visitbikaner</v>
      </c>
      <c r="Q421" s="3" t="str">
        <f t="shared" si="6"/>
        <v>Visitbikaner</v>
      </c>
      <c r="R421" s="3">
        <f t="shared" si="7"/>
        <v>5666</v>
      </c>
    </row>
    <row r="422">
      <c r="A422" s="7" t="s">
        <v>127</v>
      </c>
      <c r="B422" s="8" t="s">
        <v>20</v>
      </c>
      <c r="C422" s="8">
        <v>27900.0</v>
      </c>
      <c r="E422" s="3" t="str">
        <f>IFERROR(__xludf.DUMMYFUNCTION("SPLIT(A422,""|"")")," NEFT/Facebook/20221219/Visitjaipur/5676 ")</f>
        <v> NEFT/Facebook/20221219/Visitjaipur/5676 </v>
      </c>
      <c r="F422" s="3" t="str">
        <f>IFERROR(__xludf.DUMMYFUNCTION("SPLIT(E422,""/"")")," NEFT")</f>
        <v> NEFT</v>
      </c>
      <c r="G422" s="3" t="str">
        <f>IFERROR(__xludf.DUMMYFUNCTION("""COMPUTED_VALUE"""),"Facebook")</f>
        <v>Facebook</v>
      </c>
      <c r="H422" s="3">
        <f>IFERROR(__xludf.DUMMYFUNCTION("""COMPUTED_VALUE"""),2.0221219E7)</f>
        <v>20221219</v>
      </c>
      <c r="I422" s="3" t="str">
        <f>IFERROR(__xludf.DUMMYFUNCTION("""COMPUTED_VALUE"""),"Visitjaipur")</f>
        <v>Visitjaipur</v>
      </c>
      <c r="J422" s="3">
        <f>IFERROR(__xludf.DUMMYFUNCTION("""COMPUTED_VALUE"""),5676.0)</f>
        <v>5676</v>
      </c>
      <c r="K422" s="3" t="str">
        <f t="shared" ref="K422:L422" si="426">TRIM(F422)</f>
        <v>NEFT</v>
      </c>
      <c r="L422" s="3" t="str">
        <f t="shared" si="426"/>
        <v>Facebook</v>
      </c>
      <c r="M422" s="3" t="str">
        <f t="shared" si="3"/>
        <v>Facebook</v>
      </c>
      <c r="N422" s="3" t="str">
        <f>IFERROR(__xludf.DUMMYFUNCTION("SPLIT(M422,""&amp;"")"),"Facebook")</f>
        <v>Facebook</v>
      </c>
      <c r="O422" s="3" t="str">
        <f t="shared" si="4"/>
        <v>Facebook</v>
      </c>
      <c r="P422" s="3" t="str">
        <f t="shared" si="5"/>
        <v>Visitjaipur</v>
      </c>
      <c r="Q422" s="3" t="str">
        <f t="shared" si="6"/>
        <v>Visitjaipur</v>
      </c>
      <c r="R422" s="3">
        <f t="shared" si="7"/>
        <v>5676</v>
      </c>
    </row>
    <row r="423">
      <c r="A423" s="7" t="s">
        <v>128</v>
      </c>
      <c r="B423" s="8" t="s">
        <v>20</v>
      </c>
      <c r="C423" s="8">
        <v>14200.0</v>
      </c>
      <c r="E423" s="3" t="str">
        <f>IFERROR(__xludf.DUMMYFUNCTION("SPLIT(A423,""|"")")," CHQ/YouTube &amp;/20221222/Visitrajasthan/4564 ")</f>
        <v> CHQ/YouTube &amp;/20221222/Visitrajasthan/4564 </v>
      </c>
      <c r="F423" s="3" t="str">
        <f>IFERROR(__xludf.DUMMYFUNCTION("SPLIT(E423,""/"")")," CHQ")</f>
        <v> CHQ</v>
      </c>
      <c r="G423" s="3" t="str">
        <f>IFERROR(__xludf.DUMMYFUNCTION("""COMPUTED_VALUE"""),"YouTube &amp;")</f>
        <v>YouTube &amp;</v>
      </c>
      <c r="H423" s="3">
        <f>IFERROR(__xludf.DUMMYFUNCTION("""COMPUTED_VALUE"""),2.0221222E7)</f>
        <v>20221222</v>
      </c>
      <c r="I423" s="3" t="str">
        <f>IFERROR(__xludf.DUMMYFUNCTION("""COMPUTED_VALUE"""),"Visitrajasthan")</f>
        <v>Visitrajasthan</v>
      </c>
      <c r="J423" s="3">
        <f>IFERROR(__xludf.DUMMYFUNCTION("""COMPUTED_VALUE"""),4564.0)</f>
        <v>4564</v>
      </c>
      <c r="K423" s="3" t="str">
        <f t="shared" ref="K423:L423" si="427">TRIM(F423)</f>
        <v>CHQ</v>
      </c>
      <c r="L423" s="3" t="str">
        <f t="shared" si="427"/>
        <v>YouTube &amp;</v>
      </c>
      <c r="M423" s="3" t="str">
        <f t="shared" si="3"/>
        <v>Youtube &amp;</v>
      </c>
      <c r="N423" s="3" t="str">
        <f>IFERROR(__xludf.DUMMYFUNCTION("SPLIT(M423,""&amp;"")"),"Youtube ")</f>
        <v>Youtube </v>
      </c>
      <c r="O423" s="3" t="str">
        <f t="shared" si="4"/>
        <v>Youtube</v>
      </c>
      <c r="P423" s="3" t="str">
        <f t="shared" si="5"/>
        <v>Visitrajasthan</v>
      </c>
      <c r="Q423" s="3" t="str">
        <f t="shared" si="6"/>
        <v>Visitrajasthan</v>
      </c>
      <c r="R423" s="3">
        <f t="shared" si="7"/>
        <v>4564</v>
      </c>
    </row>
    <row r="424">
      <c r="A424" s="7" t="s">
        <v>129</v>
      </c>
      <c r="B424" s="8" t="s">
        <v>20</v>
      </c>
      <c r="C424" s="8">
        <v>29200.0</v>
      </c>
      <c r="E424" s="3" t="str">
        <f>IFERROR(__xludf.DUMMYFUNCTION("SPLIT(A424,""|"")")," VfS/Instagram/20221225/visitudaipur/4565 ")</f>
        <v> VfS/Instagram/20221225/visitudaipur/4565 </v>
      </c>
      <c r="F424" s="3" t="str">
        <f>IFERROR(__xludf.DUMMYFUNCTION("SPLIT(E424,""/"")")," VfS")</f>
        <v> VfS</v>
      </c>
      <c r="G424" s="3" t="str">
        <f>IFERROR(__xludf.DUMMYFUNCTION("""COMPUTED_VALUE"""),"Instagram")</f>
        <v>Instagram</v>
      </c>
      <c r="H424" s="3">
        <f>IFERROR(__xludf.DUMMYFUNCTION("""COMPUTED_VALUE"""),2.0221225E7)</f>
        <v>20221225</v>
      </c>
      <c r="I424" s="3" t="str">
        <f>IFERROR(__xludf.DUMMYFUNCTION("""COMPUTED_VALUE"""),"visitudaipur")</f>
        <v>visitudaipur</v>
      </c>
      <c r="J424" s="3">
        <f>IFERROR(__xludf.DUMMYFUNCTION("""COMPUTED_VALUE"""),4565.0)</f>
        <v>4565</v>
      </c>
      <c r="K424" s="3" t="str">
        <f t="shared" ref="K424:L424" si="428">TRIM(F424)</f>
        <v>VfS</v>
      </c>
      <c r="L424" s="3" t="str">
        <f t="shared" si="428"/>
        <v>Instagram</v>
      </c>
      <c r="M424" s="3" t="str">
        <f t="shared" si="3"/>
        <v>Instagram</v>
      </c>
      <c r="N424" s="3" t="str">
        <f>IFERROR(__xludf.DUMMYFUNCTION("SPLIT(M424,""&amp;"")"),"Instagram")</f>
        <v>Instagram</v>
      </c>
      <c r="O424" s="3" t="str">
        <f t="shared" si="4"/>
        <v>Instagram</v>
      </c>
      <c r="P424" s="3" t="str">
        <f t="shared" si="5"/>
        <v>visitudaipur</v>
      </c>
      <c r="Q424" s="3" t="str">
        <f t="shared" si="6"/>
        <v>Visitudaipur</v>
      </c>
      <c r="R424" s="3">
        <f t="shared" si="7"/>
        <v>4565</v>
      </c>
    </row>
    <row r="425">
      <c r="A425" s="7" t="s">
        <v>130</v>
      </c>
      <c r="B425" s="8" t="s">
        <v>20</v>
      </c>
      <c r="C425" s="8">
        <v>11700.0</v>
      </c>
      <c r="E425" s="3" t="str">
        <f>IFERROR(__xludf.DUMMYFUNCTION("SPLIT(A425,""|"")")," VIN/OfflINe &amp;/20221228/Visitjodhpur/4566 ")</f>
        <v> VIN/OfflINe &amp;/20221228/Visitjodhpur/4566 </v>
      </c>
      <c r="F425" s="3" t="str">
        <f>IFERROR(__xludf.DUMMYFUNCTION("SPLIT(E425,""/"")")," VIN")</f>
        <v> VIN</v>
      </c>
      <c r="G425" s="3" t="str">
        <f>IFERROR(__xludf.DUMMYFUNCTION("""COMPUTED_VALUE"""),"OfflINe &amp;")</f>
        <v>OfflINe &amp;</v>
      </c>
      <c r="H425" s="3">
        <f>IFERROR(__xludf.DUMMYFUNCTION("""COMPUTED_VALUE"""),2.0221228E7)</f>
        <v>20221228</v>
      </c>
      <c r="I425" s="3" t="str">
        <f>IFERROR(__xludf.DUMMYFUNCTION("""COMPUTED_VALUE"""),"Visitjodhpur")</f>
        <v>Visitjodhpur</v>
      </c>
      <c r="J425" s="3">
        <f>IFERROR(__xludf.DUMMYFUNCTION("""COMPUTED_VALUE"""),4566.0)</f>
        <v>4566</v>
      </c>
      <c r="K425" s="3" t="str">
        <f t="shared" ref="K425:L425" si="429">TRIM(F425)</f>
        <v>VIN</v>
      </c>
      <c r="L425" s="3" t="str">
        <f t="shared" si="429"/>
        <v>OfflINe &amp;</v>
      </c>
      <c r="M425" s="3" t="str">
        <f t="shared" si="3"/>
        <v>Offline &amp;</v>
      </c>
      <c r="N425" s="3" t="str">
        <f>IFERROR(__xludf.DUMMYFUNCTION("SPLIT(M425,""&amp;"")"),"Offline ")</f>
        <v>Offline </v>
      </c>
      <c r="O425" s="3" t="str">
        <f t="shared" si="4"/>
        <v>Offline</v>
      </c>
      <c r="P425" s="3" t="str">
        <f t="shared" si="5"/>
        <v>Visitjodhpur</v>
      </c>
      <c r="Q425" s="3" t="str">
        <f t="shared" si="6"/>
        <v>Visitjodhpur</v>
      </c>
      <c r="R425" s="3">
        <f t="shared" si="7"/>
        <v>4566</v>
      </c>
    </row>
    <row r="426">
      <c r="A426" s="7" t="s">
        <v>131</v>
      </c>
      <c r="B426" s="8" t="s">
        <v>6</v>
      </c>
      <c r="C426" s="8">
        <v>76900.0</v>
      </c>
      <c r="E426" s="3" t="str">
        <f>IFERROR(__xludf.DUMMYFUNCTION("SPLIT(A426,""|"")")," CHQ/Facebook/20221001/Visitjaipur/5676 ")</f>
        <v> CHQ/Facebook/20221001/Visitjaipur/5676 </v>
      </c>
      <c r="F426" s="3" t="str">
        <f>IFERROR(__xludf.DUMMYFUNCTION("SPLIT(E426,""/"")")," CHQ")</f>
        <v> CHQ</v>
      </c>
      <c r="G426" s="3" t="str">
        <f>IFERROR(__xludf.DUMMYFUNCTION("""COMPUTED_VALUE"""),"Facebook")</f>
        <v>Facebook</v>
      </c>
      <c r="H426" s="3">
        <f>IFERROR(__xludf.DUMMYFUNCTION("""COMPUTED_VALUE"""),2.0221001E7)</f>
        <v>20221001</v>
      </c>
      <c r="I426" s="3" t="str">
        <f>IFERROR(__xludf.DUMMYFUNCTION("""COMPUTED_VALUE"""),"Visitjaipur")</f>
        <v>Visitjaipur</v>
      </c>
      <c r="J426" s="3">
        <f>IFERROR(__xludf.DUMMYFUNCTION("""COMPUTED_VALUE"""),5676.0)</f>
        <v>5676</v>
      </c>
      <c r="K426" s="3" t="str">
        <f t="shared" ref="K426:L426" si="430">TRIM(F426)</f>
        <v>CHQ</v>
      </c>
      <c r="L426" s="3" t="str">
        <f t="shared" si="430"/>
        <v>Facebook</v>
      </c>
      <c r="M426" s="3" t="str">
        <f t="shared" si="3"/>
        <v>Facebook</v>
      </c>
      <c r="N426" s="3" t="str">
        <f>IFERROR(__xludf.DUMMYFUNCTION("SPLIT(M426,""&amp;"")"),"Facebook")</f>
        <v>Facebook</v>
      </c>
      <c r="O426" s="3" t="str">
        <f t="shared" si="4"/>
        <v>Facebook</v>
      </c>
      <c r="P426" s="3" t="str">
        <f t="shared" si="5"/>
        <v>Visitjaipur</v>
      </c>
      <c r="Q426" s="3" t="str">
        <f t="shared" si="6"/>
        <v>Visitjaipur</v>
      </c>
      <c r="R426" s="3">
        <f t="shared" si="7"/>
        <v>5676</v>
      </c>
    </row>
    <row r="427">
      <c r="A427" s="7" t="s">
        <v>132</v>
      </c>
      <c r="B427" s="8" t="s">
        <v>6</v>
      </c>
      <c r="C427" s="8">
        <v>13000.0</v>
      </c>
      <c r="E427" s="3" t="str">
        <f>IFERROR(__xludf.DUMMYFUNCTION("SPLIT(A427,""|"")")," VfS/YouTube/20221004/Visitrajasthan/4564 ")</f>
        <v> VfS/YouTube/20221004/Visitrajasthan/4564 </v>
      </c>
      <c r="F427" s="3" t="str">
        <f>IFERROR(__xludf.DUMMYFUNCTION("SPLIT(E427,""/"")")," VfS")</f>
        <v> VfS</v>
      </c>
      <c r="G427" s="3" t="str">
        <f>IFERROR(__xludf.DUMMYFUNCTION("""COMPUTED_VALUE"""),"YouTube")</f>
        <v>YouTube</v>
      </c>
      <c r="H427" s="3">
        <f>IFERROR(__xludf.DUMMYFUNCTION("""COMPUTED_VALUE"""),2.0221004E7)</f>
        <v>20221004</v>
      </c>
      <c r="I427" s="3" t="str">
        <f>IFERROR(__xludf.DUMMYFUNCTION("""COMPUTED_VALUE"""),"Visitrajasthan")</f>
        <v>Visitrajasthan</v>
      </c>
      <c r="J427" s="3">
        <f>IFERROR(__xludf.DUMMYFUNCTION("""COMPUTED_VALUE"""),4564.0)</f>
        <v>4564</v>
      </c>
      <c r="K427" s="3" t="str">
        <f t="shared" ref="K427:L427" si="431">TRIM(F427)</f>
        <v>VfS</v>
      </c>
      <c r="L427" s="3" t="str">
        <f t="shared" si="431"/>
        <v>YouTube</v>
      </c>
      <c r="M427" s="3" t="str">
        <f t="shared" si="3"/>
        <v>Youtube</v>
      </c>
      <c r="N427" s="3" t="str">
        <f>IFERROR(__xludf.DUMMYFUNCTION("SPLIT(M427,""&amp;"")"),"Youtube")</f>
        <v>Youtube</v>
      </c>
      <c r="O427" s="3" t="str">
        <f t="shared" si="4"/>
        <v>Youtube</v>
      </c>
      <c r="P427" s="3" t="str">
        <f t="shared" si="5"/>
        <v>Visitrajasthan</v>
      </c>
      <c r="Q427" s="3" t="str">
        <f t="shared" si="6"/>
        <v>Visitrajasthan</v>
      </c>
      <c r="R427" s="3">
        <f t="shared" si="7"/>
        <v>4564</v>
      </c>
    </row>
    <row r="428">
      <c r="A428" s="7" t="s">
        <v>133</v>
      </c>
      <c r="B428" s="8" t="s">
        <v>6</v>
      </c>
      <c r="C428" s="8">
        <v>84100.0</v>
      </c>
      <c r="E428" s="3" t="str">
        <f>IFERROR(__xludf.DUMMYFUNCTION("SPLIT(A428,""|"")")," NEFT/Instagram/20221007/visitudaipur/4565 ")</f>
        <v> NEFT/Instagram/20221007/visitudaipur/4565 </v>
      </c>
      <c r="F428" s="3" t="str">
        <f>IFERROR(__xludf.DUMMYFUNCTION("SPLIT(E428,""/"")")," NEFT")</f>
        <v> NEFT</v>
      </c>
      <c r="G428" s="3" t="str">
        <f>IFERROR(__xludf.DUMMYFUNCTION("""COMPUTED_VALUE"""),"Instagram")</f>
        <v>Instagram</v>
      </c>
      <c r="H428" s="3">
        <f>IFERROR(__xludf.DUMMYFUNCTION("""COMPUTED_VALUE"""),2.0221007E7)</f>
        <v>20221007</v>
      </c>
      <c r="I428" s="3" t="str">
        <f>IFERROR(__xludf.DUMMYFUNCTION("""COMPUTED_VALUE"""),"visitudaipur")</f>
        <v>visitudaipur</v>
      </c>
      <c r="J428" s="3">
        <f>IFERROR(__xludf.DUMMYFUNCTION("""COMPUTED_VALUE"""),4565.0)</f>
        <v>4565</v>
      </c>
      <c r="K428" s="3" t="str">
        <f t="shared" ref="K428:L428" si="432">TRIM(F428)</f>
        <v>NEFT</v>
      </c>
      <c r="L428" s="3" t="str">
        <f t="shared" si="432"/>
        <v>Instagram</v>
      </c>
      <c r="M428" s="3" t="str">
        <f t="shared" si="3"/>
        <v>Instagram</v>
      </c>
      <c r="N428" s="3" t="str">
        <f>IFERROR(__xludf.DUMMYFUNCTION("SPLIT(M428,""&amp;"")"),"Instagram")</f>
        <v>Instagram</v>
      </c>
      <c r="O428" s="3" t="str">
        <f t="shared" si="4"/>
        <v>Instagram</v>
      </c>
      <c r="P428" s="3" t="str">
        <f t="shared" si="5"/>
        <v>visitudaipur</v>
      </c>
      <c r="Q428" s="3" t="str">
        <f t="shared" si="6"/>
        <v>Visitudaipur</v>
      </c>
      <c r="R428" s="3">
        <f t="shared" si="7"/>
        <v>4565</v>
      </c>
    </row>
    <row r="429">
      <c r="A429" s="7" t="s">
        <v>134</v>
      </c>
      <c r="B429" s="8" t="s">
        <v>6</v>
      </c>
      <c r="C429" s="8">
        <v>20300.0</v>
      </c>
      <c r="E429" s="3" t="str">
        <f>IFERROR(__xludf.DUMMYFUNCTION("SPLIT(A429,""|"")")," CHQ/Offline &amp;/20221010/Visitjodhpur/4566 ")</f>
        <v> CHQ/Offline &amp;/20221010/Visitjodhpur/4566 </v>
      </c>
      <c r="F429" s="3" t="str">
        <f>IFERROR(__xludf.DUMMYFUNCTION("SPLIT(E429,""/"")")," CHQ")</f>
        <v> CHQ</v>
      </c>
      <c r="G429" s="3" t="str">
        <f>IFERROR(__xludf.DUMMYFUNCTION("""COMPUTED_VALUE"""),"Offline &amp;")</f>
        <v>Offline &amp;</v>
      </c>
      <c r="H429" s="3">
        <f>IFERROR(__xludf.DUMMYFUNCTION("""COMPUTED_VALUE"""),2.022101E7)</f>
        <v>20221010</v>
      </c>
      <c r="I429" s="3" t="str">
        <f>IFERROR(__xludf.DUMMYFUNCTION("""COMPUTED_VALUE"""),"Visitjodhpur")</f>
        <v>Visitjodhpur</v>
      </c>
      <c r="J429" s="3">
        <f>IFERROR(__xludf.DUMMYFUNCTION("""COMPUTED_VALUE"""),4566.0)</f>
        <v>4566</v>
      </c>
      <c r="K429" s="3" t="str">
        <f t="shared" ref="K429:L429" si="433">TRIM(F429)</f>
        <v>CHQ</v>
      </c>
      <c r="L429" s="3" t="str">
        <f t="shared" si="433"/>
        <v>Offline &amp;</v>
      </c>
      <c r="M429" s="3" t="str">
        <f t="shared" si="3"/>
        <v>Offline &amp;</v>
      </c>
      <c r="N429" s="3" t="str">
        <f>IFERROR(__xludf.DUMMYFUNCTION("SPLIT(M429,""&amp;"")"),"Offline ")</f>
        <v>Offline </v>
      </c>
      <c r="O429" s="3" t="str">
        <f t="shared" si="4"/>
        <v>Offline</v>
      </c>
      <c r="P429" s="3" t="str">
        <f t="shared" si="5"/>
        <v>Visitjodhpur</v>
      </c>
      <c r="Q429" s="3" t="str">
        <f t="shared" si="6"/>
        <v>Visitjodhpur</v>
      </c>
      <c r="R429" s="3">
        <f t="shared" si="7"/>
        <v>4566</v>
      </c>
    </row>
    <row r="430">
      <c r="A430" s="7" t="s">
        <v>151</v>
      </c>
      <c r="B430" s="8" t="s">
        <v>6</v>
      </c>
      <c r="C430" s="8">
        <v>94400.0</v>
      </c>
      <c r="E430" s="3" t="str">
        <f>IFERROR(__xludf.DUMMYFUNCTION("SPLIT(A430,""|"")")," VfS/Google Ads/20221013/visitJaisalmer/3455 ")</f>
        <v> VfS/Google Ads/20221013/visitJaisalmer/3455 </v>
      </c>
      <c r="F430" s="3" t="str">
        <f>IFERROR(__xludf.DUMMYFUNCTION("SPLIT(E430,""/"")")," VfS")</f>
        <v> VfS</v>
      </c>
      <c r="G430" s="3" t="str">
        <f>IFERROR(__xludf.DUMMYFUNCTION("""COMPUTED_VALUE"""),"Google Ads")</f>
        <v>Google Ads</v>
      </c>
      <c r="H430" s="3">
        <f>IFERROR(__xludf.DUMMYFUNCTION("""COMPUTED_VALUE"""),2.0221013E7)</f>
        <v>20221013</v>
      </c>
      <c r="I430" s="3" t="str">
        <f>IFERROR(__xludf.DUMMYFUNCTION("""COMPUTED_VALUE"""),"visitJaisalmer")</f>
        <v>visitJaisalmer</v>
      </c>
      <c r="J430" s="3">
        <f>IFERROR(__xludf.DUMMYFUNCTION("""COMPUTED_VALUE"""),3455.0)</f>
        <v>3455</v>
      </c>
      <c r="K430" s="3" t="str">
        <f t="shared" ref="K430:L430" si="434">TRIM(F430)</f>
        <v>VfS</v>
      </c>
      <c r="L430" s="3" t="str">
        <f t="shared" si="434"/>
        <v>Google Ads</v>
      </c>
      <c r="M430" s="3" t="str">
        <f t="shared" si="3"/>
        <v>Google Ads</v>
      </c>
      <c r="N430" s="3" t="str">
        <f>IFERROR(__xludf.DUMMYFUNCTION("SPLIT(M430,""&amp;"")"),"Google Ads")</f>
        <v>Google Ads</v>
      </c>
      <c r="O430" s="3" t="str">
        <f t="shared" si="4"/>
        <v>Google Ads</v>
      </c>
      <c r="P430" s="3" t="str">
        <f t="shared" si="5"/>
        <v>visitJaisalmer</v>
      </c>
      <c r="Q430" s="3" t="str">
        <f t="shared" si="6"/>
        <v>Visitjaisalmer</v>
      </c>
      <c r="R430" s="3">
        <f t="shared" si="7"/>
        <v>3455</v>
      </c>
    </row>
    <row r="431">
      <c r="A431" s="7" t="s">
        <v>136</v>
      </c>
      <c r="B431" s="8" t="s">
        <v>6</v>
      </c>
      <c r="C431" s="8">
        <v>29100.0</v>
      </c>
      <c r="E431" s="3" t="str">
        <f>IFERROR(__xludf.DUMMYFUNCTION("SPLIT(A431,""|"")")," VIN/TwiTter/20221016/visitbikaner/5666 ")</f>
        <v> VIN/TwiTter/20221016/visitbikaner/5666 </v>
      </c>
      <c r="F431" s="3" t="str">
        <f>IFERROR(__xludf.DUMMYFUNCTION("SPLIT(E431,""/"")")," VIN")</f>
        <v> VIN</v>
      </c>
      <c r="G431" s="3" t="str">
        <f>IFERROR(__xludf.DUMMYFUNCTION("""COMPUTED_VALUE"""),"TwiTter")</f>
        <v>TwiTter</v>
      </c>
      <c r="H431" s="3">
        <f>IFERROR(__xludf.DUMMYFUNCTION("""COMPUTED_VALUE"""),2.0221016E7)</f>
        <v>20221016</v>
      </c>
      <c r="I431" s="3" t="str">
        <f>IFERROR(__xludf.DUMMYFUNCTION("""COMPUTED_VALUE"""),"visitbikaner")</f>
        <v>visitbikaner</v>
      </c>
      <c r="J431" s="3">
        <f>IFERROR(__xludf.DUMMYFUNCTION("""COMPUTED_VALUE"""),5666.0)</f>
        <v>5666</v>
      </c>
      <c r="K431" s="3" t="str">
        <f t="shared" ref="K431:L431" si="435">TRIM(F431)</f>
        <v>VIN</v>
      </c>
      <c r="L431" s="3" t="str">
        <f t="shared" si="435"/>
        <v>TwiTter</v>
      </c>
      <c r="M431" s="3" t="str">
        <f t="shared" si="3"/>
        <v>Twitter</v>
      </c>
      <c r="N431" s="3" t="str">
        <f>IFERROR(__xludf.DUMMYFUNCTION("SPLIT(M431,""&amp;"")"),"Twitter")</f>
        <v>Twitter</v>
      </c>
      <c r="O431" s="3" t="str">
        <f t="shared" si="4"/>
        <v>Twitter</v>
      </c>
      <c r="P431" s="3" t="str">
        <f t="shared" si="5"/>
        <v>visitbikaner</v>
      </c>
      <c r="Q431" s="3" t="str">
        <f t="shared" si="6"/>
        <v>Visitbikaner</v>
      </c>
      <c r="R431" s="3">
        <f t="shared" si="7"/>
        <v>5666</v>
      </c>
    </row>
    <row r="432">
      <c r="A432" s="7" t="s">
        <v>137</v>
      </c>
      <c r="B432" s="8" t="s">
        <v>6</v>
      </c>
      <c r="C432" s="8">
        <v>36900.0</v>
      </c>
      <c r="E432" s="3" t="str">
        <f>IFERROR(__xludf.DUMMYFUNCTION("SPLIT(A432,""|"")")," NEFT/Facebook/20221019/Visitjaipur/5676 ")</f>
        <v> NEFT/Facebook/20221019/Visitjaipur/5676 </v>
      </c>
      <c r="F432" s="3" t="str">
        <f>IFERROR(__xludf.DUMMYFUNCTION("SPLIT(E432,""/"")")," NEFT")</f>
        <v> NEFT</v>
      </c>
      <c r="G432" s="3" t="str">
        <f>IFERROR(__xludf.DUMMYFUNCTION("""COMPUTED_VALUE"""),"Facebook")</f>
        <v>Facebook</v>
      </c>
      <c r="H432" s="3">
        <f>IFERROR(__xludf.DUMMYFUNCTION("""COMPUTED_VALUE"""),2.0221019E7)</f>
        <v>20221019</v>
      </c>
      <c r="I432" s="3" t="str">
        <f>IFERROR(__xludf.DUMMYFUNCTION("""COMPUTED_VALUE"""),"Visitjaipur")</f>
        <v>Visitjaipur</v>
      </c>
      <c r="J432" s="3">
        <f>IFERROR(__xludf.DUMMYFUNCTION("""COMPUTED_VALUE"""),5676.0)</f>
        <v>5676</v>
      </c>
      <c r="K432" s="3" t="str">
        <f t="shared" ref="K432:L432" si="436">TRIM(F432)</f>
        <v>NEFT</v>
      </c>
      <c r="L432" s="3" t="str">
        <f t="shared" si="436"/>
        <v>Facebook</v>
      </c>
      <c r="M432" s="3" t="str">
        <f t="shared" si="3"/>
        <v>Facebook</v>
      </c>
      <c r="N432" s="3" t="str">
        <f>IFERROR(__xludf.DUMMYFUNCTION("SPLIT(M432,""&amp;"")"),"Facebook")</f>
        <v>Facebook</v>
      </c>
      <c r="O432" s="3" t="str">
        <f t="shared" si="4"/>
        <v>Facebook</v>
      </c>
      <c r="P432" s="3" t="str">
        <f t="shared" si="5"/>
        <v>Visitjaipur</v>
      </c>
      <c r="Q432" s="3" t="str">
        <f t="shared" si="6"/>
        <v>Visitjaipur</v>
      </c>
      <c r="R432" s="3">
        <f t="shared" si="7"/>
        <v>5676</v>
      </c>
    </row>
    <row r="433">
      <c r="A433" s="7" t="s">
        <v>138</v>
      </c>
      <c r="B433" s="8" t="s">
        <v>6</v>
      </c>
      <c r="C433" s="8">
        <v>23100.0</v>
      </c>
      <c r="E433" s="3" t="str">
        <f>IFERROR(__xludf.DUMMYFUNCTION("SPLIT(A433,""|"")")," CHQ/YouTube &amp;/20221022/Visitrajasthan/4564 ")</f>
        <v> CHQ/YouTube &amp;/20221022/Visitrajasthan/4564 </v>
      </c>
      <c r="F433" s="3" t="str">
        <f>IFERROR(__xludf.DUMMYFUNCTION("SPLIT(E433,""/"")")," CHQ")</f>
        <v> CHQ</v>
      </c>
      <c r="G433" s="3" t="str">
        <f>IFERROR(__xludf.DUMMYFUNCTION("""COMPUTED_VALUE"""),"YouTube &amp;")</f>
        <v>YouTube &amp;</v>
      </c>
      <c r="H433" s="3">
        <f>IFERROR(__xludf.DUMMYFUNCTION("""COMPUTED_VALUE"""),2.0221022E7)</f>
        <v>20221022</v>
      </c>
      <c r="I433" s="3" t="str">
        <f>IFERROR(__xludf.DUMMYFUNCTION("""COMPUTED_VALUE"""),"Visitrajasthan")</f>
        <v>Visitrajasthan</v>
      </c>
      <c r="J433" s="3">
        <f>IFERROR(__xludf.DUMMYFUNCTION("""COMPUTED_VALUE"""),4564.0)</f>
        <v>4564</v>
      </c>
      <c r="K433" s="3" t="str">
        <f t="shared" ref="K433:L433" si="437">TRIM(F433)</f>
        <v>CHQ</v>
      </c>
      <c r="L433" s="3" t="str">
        <f t="shared" si="437"/>
        <v>YouTube &amp;</v>
      </c>
      <c r="M433" s="3" t="str">
        <f t="shared" si="3"/>
        <v>Youtube &amp;</v>
      </c>
      <c r="N433" s="3" t="str">
        <f>IFERROR(__xludf.DUMMYFUNCTION("SPLIT(M433,""&amp;"")"),"Youtube ")</f>
        <v>Youtube </v>
      </c>
      <c r="O433" s="3" t="str">
        <f t="shared" si="4"/>
        <v>Youtube</v>
      </c>
      <c r="P433" s="3" t="str">
        <f t="shared" si="5"/>
        <v>Visitrajasthan</v>
      </c>
      <c r="Q433" s="3" t="str">
        <f t="shared" si="6"/>
        <v>Visitrajasthan</v>
      </c>
      <c r="R433" s="3">
        <f t="shared" si="7"/>
        <v>4564</v>
      </c>
    </row>
    <row r="434">
      <c r="A434" s="7" t="s">
        <v>139</v>
      </c>
      <c r="B434" s="8" t="s">
        <v>6</v>
      </c>
      <c r="C434" s="8">
        <v>95300.0</v>
      </c>
      <c r="E434" s="3" t="str">
        <f>IFERROR(__xludf.DUMMYFUNCTION("SPLIT(A434,""|"")")," VfS/Instagram/20221025/visitudaipur/4565 ")</f>
        <v> VfS/Instagram/20221025/visitudaipur/4565 </v>
      </c>
      <c r="F434" s="3" t="str">
        <f>IFERROR(__xludf.DUMMYFUNCTION("SPLIT(E434,""/"")")," VfS")</f>
        <v> VfS</v>
      </c>
      <c r="G434" s="3" t="str">
        <f>IFERROR(__xludf.DUMMYFUNCTION("""COMPUTED_VALUE"""),"Instagram")</f>
        <v>Instagram</v>
      </c>
      <c r="H434" s="3">
        <f>IFERROR(__xludf.DUMMYFUNCTION("""COMPUTED_VALUE"""),2.0221025E7)</f>
        <v>20221025</v>
      </c>
      <c r="I434" s="3" t="str">
        <f>IFERROR(__xludf.DUMMYFUNCTION("""COMPUTED_VALUE"""),"visitudaipur")</f>
        <v>visitudaipur</v>
      </c>
      <c r="J434" s="3">
        <f>IFERROR(__xludf.DUMMYFUNCTION("""COMPUTED_VALUE"""),4565.0)</f>
        <v>4565</v>
      </c>
      <c r="K434" s="3" t="str">
        <f t="shared" ref="K434:L434" si="438">TRIM(F434)</f>
        <v>VfS</v>
      </c>
      <c r="L434" s="3" t="str">
        <f t="shared" si="438"/>
        <v>Instagram</v>
      </c>
      <c r="M434" s="3" t="str">
        <f t="shared" si="3"/>
        <v>Instagram</v>
      </c>
      <c r="N434" s="3" t="str">
        <f>IFERROR(__xludf.DUMMYFUNCTION("SPLIT(M434,""&amp;"")"),"Instagram")</f>
        <v>Instagram</v>
      </c>
      <c r="O434" s="3" t="str">
        <f t="shared" si="4"/>
        <v>Instagram</v>
      </c>
      <c r="P434" s="3" t="str">
        <f t="shared" si="5"/>
        <v>visitudaipur</v>
      </c>
      <c r="Q434" s="3" t="str">
        <f t="shared" si="6"/>
        <v>Visitudaipur</v>
      </c>
      <c r="R434" s="3">
        <f t="shared" si="7"/>
        <v>4565</v>
      </c>
    </row>
    <row r="435">
      <c r="A435" s="7" t="s">
        <v>140</v>
      </c>
      <c r="B435" s="8" t="s">
        <v>6</v>
      </c>
      <c r="C435" s="8">
        <v>65200.0</v>
      </c>
      <c r="E435" s="3" t="str">
        <f>IFERROR(__xludf.DUMMYFUNCTION("SPLIT(A435,""|"")")," VIN/OfflINe &amp;/20221028/Visitjodhpur/4566 ")</f>
        <v> VIN/OfflINe &amp;/20221028/Visitjodhpur/4566 </v>
      </c>
      <c r="F435" s="3" t="str">
        <f>IFERROR(__xludf.DUMMYFUNCTION("SPLIT(E435,""/"")")," VIN")</f>
        <v> VIN</v>
      </c>
      <c r="G435" s="3" t="str">
        <f>IFERROR(__xludf.DUMMYFUNCTION("""COMPUTED_VALUE"""),"OfflINe &amp;")</f>
        <v>OfflINe &amp;</v>
      </c>
      <c r="H435" s="3">
        <f>IFERROR(__xludf.DUMMYFUNCTION("""COMPUTED_VALUE"""),2.0221028E7)</f>
        <v>20221028</v>
      </c>
      <c r="I435" s="3" t="str">
        <f>IFERROR(__xludf.DUMMYFUNCTION("""COMPUTED_VALUE"""),"Visitjodhpur")</f>
        <v>Visitjodhpur</v>
      </c>
      <c r="J435" s="3">
        <f>IFERROR(__xludf.DUMMYFUNCTION("""COMPUTED_VALUE"""),4566.0)</f>
        <v>4566</v>
      </c>
      <c r="K435" s="3" t="str">
        <f t="shared" ref="K435:L435" si="439">TRIM(F435)</f>
        <v>VIN</v>
      </c>
      <c r="L435" s="3" t="str">
        <f t="shared" si="439"/>
        <v>OfflINe &amp;</v>
      </c>
      <c r="M435" s="3" t="str">
        <f t="shared" si="3"/>
        <v>Offline &amp;</v>
      </c>
      <c r="N435" s="3" t="str">
        <f>IFERROR(__xludf.DUMMYFUNCTION("SPLIT(M435,""&amp;"")"),"Offline ")</f>
        <v>Offline </v>
      </c>
      <c r="O435" s="3" t="str">
        <f t="shared" si="4"/>
        <v>Offline</v>
      </c>
      <c r="P435" s="3" t="str">
        <f t="shared" si="5"/>
        <v>Visitjodhpur</v>
      </c>
      <c r="Q435" s="3" t="str">
        <f t="shared" si="6"/>
        <v>Visitjodhpur</v>
      </c>
      <c r="R435" s="3">
        <f t="shared" si="7"/>
        <v>4566</v>
      </c>
    </row>
    <row r="436">
      <c r="A436" s="7" t="s">
        <v>141</v>
      </c>
      <c r="B436" s="8" t="s">
        <v>19</v>
      </c>
      <c r="C436" s="8">
        <v>65800.0</v>
      </c>
      <c r="E436" s="3" t="str">
        <f>IFERROR(__xludf.DUMMYFUNCTION("SPLIT(A436,""|"")")," CHQ/Facebook/20221101/Visitjaipur/5676 ")</f>
        <v> CHQ/Facebook/20221101/Visitjaipur/5676 </v>
      </c>
      <c r="F436" s="3" t="str">
        <f>IFERROR(__xludf.DUMMYFUNCTION("SPLIT(E436,""/"")")," CHQ")</f>
        <v> CHQ</v>
      </c>
      <c r="G436" s="3" t="str">
        <f>IFERROR(__xludf.DUMMYFUNCTION("""COMPUTED_VALUE"""),"Facebook")</f>
        <v>Facebook</v>
      </c>
      <c r="H436" s="3">
        <f>IFERROR(__xludf.DUMMYFUNCTION("""COMPUTED_VALUE"""),2.0221101E7)</f>
        <v>20221101</v>
      </c>
      <c r="I436" s="3" t="str">
        <f>IFERROR(__xludf.DUMMYFUNCTION("""COMPUTED_VALUE"""),"Visitjaipur")</f>
        <v>Visitjaipur</v>
      </c>
      <c r="J436" s="3">
        <f>IFERROR(__xludf.DUMMYFUNCTION("""COMPUTED_VALUE"""),5676.0)</f>
        <v>5676</v>
      </c>
      <c r="K436" s="3" t="str">
        <f t="shared" ref="K436:L436" si="440">TRIM(F436)</f>
        <v>CHQ</v>
      </c>
      <c r="L436" s="3" t="str">
        <f t="shared" si="440"/>
        <v>Facebook</v>
      </c>
      <c r="M436" s="3" t="str">
        <f t="shared" si="3"/>
        <v>Facebook</v>
      </c>
      <c r="N436" s="3" t="str">
        <f>IFERROR(__xludf.DUMMYFUNCTION("SPLIT(M436,""&amp;"")"),"Facebook")</f>
        <v>Facebook</v>
      </c>
      <c r="O436" s="3" t="str">
        <f t="shared" si="4"/>
        <v>Facebook</v>
      </c>
      <c r="P436" s="3" t="str">
        <f t="shared" si="5"/>
        <v>Visitjaipur</v>
      </c>
      <c r="Q436" s="3" t="str">
        <f t="shared" si="6"/>
        <v>Visitjaipur</v>
      </c>
      <c r="R436" s="3">
        <f t="shared" si="7"/>
        <v>5676</v>
      </c>
    </row>
    <row r="437">
      <c r="A437" s="7" t="s">
        <v>142</v>
      </c>
      <c r="B437" s="8" t="s">
        <v>19</v>
      </c>
      <c r="C437" s="8">
        <v>97700.0</v>
      </c>
      <c r="E437" s="3" t="str">
        <f>IFERROR(__xludf.DUMMYFUNCTION("SPLIT(A437,""|"")")," VfS/YouTube/20221104/Visitrajasthan/4564 ")</f>
        <v> VfS/YouTube/20221104/Visitrajasthan/4564 </v>
      </c>
      <c r="F437" s="3" t="str">
        <f>IFERROR(__xludf.DUMMYFUNCTION("SPLIT(E437,""/"")")," VfS")</f>
        <v> VfS</v>
      </c>
      <c r="G437" s="3" t="str">
        <f>IFERROR(__xludf.DUMMYFUNCTION("""COMPUTED_VALUE"""),"YouTube")</f>
        <v>YouTube</v>
      </c>
      <c r="H437" s="3">
        <f>IFERROR(__xludf.DUMMYFUNCTION("""COMPUTED_VALUE"""),2.0221104E7)</f>
        <v>20221104</v>
      </c>
      <c r="I437" s="3" t="str">
        <f>IFERROR(__xludf.DUMMYFUNCTION("""COMPUTED_VALUE"""),"Visitrajasthan")</f>
        <v>Visitrajasthan</v>
      </c>
      <c r="J437" s="3">
        <f>IFERROR(__xludf.DUMMYFUNCTION("""COMPUTED_VALUE"""),4564.0)</f>
        <v>4564</v>
      </c>
      <c r="K437" s="3" t="str">
        <f t="shared" ref="K437:L437" si="441">TRIM(F437)</f>
        <v>VfS</v>
      </c>
      <c r="L437" s="3" t="str">
        <f t="shared" si="441"/>
        <v>YouTube</v>
      </c>
      <c r="M437" s="3" t="str">
        <f t="shared" si="3"/>
        <v>Youtube</v>
      </c>
      <c r="N437" s="3" t="str">
        <f>IFERROR(__xludf.DUMMYFUNCTION("SPLIT(M437,""&amp;"")"),"Youtube")</f>
        <v>Youtube</v>
      </c>
      <c r="O437" s="3" t="str">
        <f t="shared" si="4"/>
        <v>Youtube</v>
      </c>
      <c r="P437" s="3" t="str">
        <f t="shared" si="5"/>
        <v>Visitrajasthan</v>
      </c>
      <c r="Q437" s="3" t="str">
        <f t="shared" si="6"/>
        <v>Visitrajasthan</v>
      </c>
      <c r="R437" s="3">
        <f t="shared" si="7"/>
        <v>4564</v>
      </c>
    </row>
    <row r="438">
      <c r="A438" s="7" t="s">
        <v>143</v>
      </c>
      <c r="B438" s="8" t="s">
        <v>19</v>
      </c>
      <c r="C438" s="8">
        <v>70700.0</v>
      </c>
      <c r="E438" s="3" t="str">
        <f>IFERROR(__xludf.DUMMYFUNCTION("SPLIT(A438,""|"")")," NEFT/Instagram/20221107/visitudaipur/4565 ")</f>
        <v> NEFT/Instagram/20221107/visitudaipur/4565 </v>
      </c>
      <c r="F438" s="3" t="str">
        <f>IFERROR(__xludf.DUMMYFUNCTION("SPLIT(E438,""/"")")," NEFT")</f>
        <v> NEFT</v>
      </c>
      <c r="G438" s="3" t="str">
        <f>IFERROR(__xludf.DUMMYFUNCTION("""COMPUTED_VALUE"""),"Instagram")</f>
        <v>Instagram</v>
      </c>
      <c r="H438" s="3">
        <f>IFERROR(__xludf.DUMMYFUNCTION("""COMPUTED_VALUE"""),2.0221107E7)</f>
        <v>20221107</v>
      </c>
      <c r="I438" s="3" t="str">
        <f>IFERROR(__xludf.DUMMYFUNCTION("""COMPUTED_VALUE"""),"visitudaipur")</f>
        <v>visitudaipur</v>
      </c>
      <c r="J438" s="3">
        <f>IFERROR(__xludf.DUMMYFUNCTION("""COMPUTED_VALUE"""),4565.0)</f>
        <v>4565</v>
      </c>
      <c r="K438" s="3" t="str">
        <f t="shared" ref="K438:L438" si="442">TRIM(F438)</f>
        <v>NEFT</v>
      </c>
      <c r="L438" s="3" t="str">
        <f t="shared" si="442"/>
        <v>Instagram</v>
      </c>
      <c r="M438" s="3" t="str">
        <f t="shared" si="3"/>
        <v>Instagram</v>
      </c>
      <c r="N438" s="3" t="str">
        <f>IFERROR(__xludf.DUMMYFUNCTION("SPLIT(M438,""&amp;"")"),"Instagram")</f>
        <v>Instagram</v>
      </c>
      <c r="O438" s="3" t="str">
        <f t="shared" si="4"/>
        <v>Instagram</v>
      </c>
      <c r="P438" s="3" t="str">
        <f t="shared" si="5"/>
        <v>visitudaipur</v>
      </c>
      <c r="Q438" s="3" t="str">
        <f t="shared" si="6"/>
        <v>Visitudaipur</v>
      </c>
      <c r="R438" s="3">
        <f t="shared" si="7"/>
        <v>4565</v>
      </c>
    </row>
    <row r="439">
      <c r="A439" s="7" t="s">
        <v>144</v>
      </c>
      <c r="B439" s="8" t="s">
        <v>19</v>
      </c>
      <c r="C439" s="8">
        <v>35900.0</v>
      </c>
      <c r="E439" s="3" t="str">
        <f>IFERROR(__xludf.DUMMYFUNCTION("SPLIT(A439,""|"")")," CHQ/Offline &amp;/20221110/Visitjodhpur/4566 ")</f>
        <v> CHQ/Offline &amp;/20221110/Visitjodhpur/4566 </v>
      </c>
      <c r="F439" s="3" t="str">
        <f>IFERROR(__xludf.DUMMYFUNCTION("SPLIT(E439,""/"")")," CHQ")</f>
        <v> CHQ</v>
      </c>
      <c r="G439" s="3" t="str">
        <f>IFERROR(__xludf.DUMMYFUNCTION("""COMPUTED_VALUE"""),"Offline &amp;")</f>
        <v>Offline &amp;</v>
      </c>
      <c r="H439" s="3">
        <f>IFERROR(__xludf.DUMMYFUNCTION("""COMPUTED_VALUE"""),2.022111E7)</f>
        <v>20221110</v>
      </c>
      <c r="I439" s="3" t="str">
        <f>IFERROR(__xludf.DUMMYFUNCTION("""COMPUTED_VALUE"""),"Visitjodhpur")</f>
        <v>Visitjodhpur</v>
      </c>
      <c r="J439" s="3">
        <f>IFERROR(__xludf.DUMMYFUNCTION("""COMPUTED_VALUE"""),4566.0)</f>
        <v>4566</v>
      </c>
      <c r="K439" s="3" t="str">
        <f t="shared" ref="K439:L439" si="443">TRIM(F439)</f>
        <v>CHQ</v>
      </c>
      <c r="L439" s="3" t="str">
        <f t="shared" si="443"/>
        <v>Offline &amp;</v>
      </c>
      <c r="M439" s="3" t="str">
        <f t="shared" si="3"/>
        <v>Offline &amp;</v>
      </c>
      <c r="N439" s="3" t="str">
        <f>IFERROR(__xludf.DUMMYFUNCTION("SPLIT(M439,""&amp;"")"),"Offline ")</f>
        <v>Offline </v>
      </c>
      <c r="O439" s="3" t="str">
        <f t="shared" si="4"/>
        <v>Offline</v>
      </c>
      <c r="P439" s="3" t="str">
        <f t="shared" si="5"/>
        <v>Visitjodhpur</v>
      </c>
      <c r="Q439" s="3" t="str">
        <f t="shared" si="6"/>
        <v>Visitjodhpur</v>
      </c>
      <c r="R439" s="3">
        <f t="shared" si="7"/>
        <v>4566</v>
      </c>
    </row>
    <row r="440">
      <c r="A440" s="7" t="s">
        <v>145</v>
      </c>
      <c r="B440" s="8" t="s">
        <v>19</v>
      </c>
      <c r="C440" s="8">
        <v>74000.0</v>
      </c>
      <c r="E440" s="3" t="str">
        <f>IFERROR(__xludf.DUMMYFUNCTION("SPLIT(A440,""|"")")," VfS/Google Ads/20221113/visitJaisalmer/3455 ")</f>
        <v> VfS/Google Ads/20221113/visitJaisalmer/3455 </v>
      </c>
      <c r="F440" s="3" t="str">
        <f>IFERROR(__xludf.DUMMYFUNCTION("SPLIT(E440,""/"")")," VfS")</f>
        <v> VfS</v>
      </c>
      <c r="G440" s="3" t="str">
        <f>IFERROR(__xludf.DUMMYFUNCTION("""COMPUTED_VALUE"""),"Google Ads")</f>
        <v>Google Ads</v>
      </c>
      <c r="H440" s="3">
        <f>IFERROR(__xludf.DUMMYFUNCTION("""COMPUTED_VALUE"""),2.0221113E7)</f>
        <v>20221113</v>
      </c>
      <c r="I440" s="3" t="str">
        <f>IFERROR(__xludf.DUMMYFUNCTION("""COMPUTED_VALUE"""),"visitJaisalmer")</f>
        <v>visitJaisalmer</v>
      </c>
      <c r="J440" s="3">
        <f>IFERROR(__xludf.DUMMYFUNCTION("""COMPUTED_VALUE"""),3455.0)</f>
        <v>3455</v>
      </c>
      <c r="K440" s="3" t="str">
        <f t="shared" ref="K440:L440" si="444">TRIM(F440)</f>
        <v>VfS</v>
      </c>
      <c r="L440" s="3" t="str">
        <f t="shared" si="444"/>
        <v>Google Ads</v>
      </c>
      <c r="M440" s="3" t="str">
        <f t="shared" si="3"/>
        <v>Google Ads</v>
      </c>
      <c r="N440" s="3" t="str">
        <f>IFERROR(__xludf.DUMMYFUNCTION("SPLIT(M440,""&amp;"")"),"Google Ads")</f>
        <v>Google Ads</v>
      </c>
      <c r="O440" s="3" t="str">
        <f t="shared" si="4"/>
        <v>Google Ads</v>
      </c>
      <c r="P440" s="3" t="str">
        <f t="shared" si="5"/>
        <v>visitJaisalmer</v>
      </c>
      <c r="Q440" s="3" t="str">
        <f t="shared" si="6"/>
        <v>Visitjaisalmer</v>
      </c>
      <c r="R440" s="3">
        <f t="shared" si="7"/>
        <v>3455</v>
      </c>
    </row>
    <row r="441">
      <c r="A441" s="7" t="s">
        <v>146</v>
      </c>
      <c r="B441" s="8" t="s">
        <v>19</v>
      </c>
      <c r="C441" s="8">
        <v>47300.0</v>
      </c>
      <c r="E441" s="3" t="str">
        <f>IFERROR(__xludf.DUMMYFUNCTION("SPLIT(A441,""|"")")," VIN/TwiTter/20221116/visitbikaner/5666 ")</f>
        <v> VIN/TwiTter/20221116/visitbikaner/5666 </v>
      </c>
      <c r="F441" s="3" t="str">
        <f>IFERROR(__xludf.DUMMYFUNCTION("SPLIT(E441,""/"")")," VIN")</f>
        <v> VIN</v>
      </c>
      <c r="G441" s="3" t="str">
        <f>IFERROR(__xludf.DUMMYFUNCTION("""COMPUTED_VALUE"""),"TwiTter")</f>
        <v>TwiTter</v>
      </c>
      <c r="H441" s="3">
        <f>IFERROR(__xludf.DUMMYFUNCTION("""COMPUTED_VALUE"""),2.0221116E7)</f>
        <v>20221116</v>
      </c>
      <c r="I441" s="3" t="str">
        <f>IFERROR(__xludf.DUMMYFUNCTION("""COMPUTED_VALUE"""),"visitbikaner")</f>
        <v>visitbikaner</v>
      </c>
      <c r="J441" s="3">
        <f>IFERROR(__xludf.DUMMYFUNCTION("""COMPUTED_VALUE"""),5666.0)</f>
        <v>5666</v>
      </c>
      <c r="K441" s="3" t="str">
        <f t="shared" ref="K441:L441" si="445">TRIM(F441)</f>
        <v>VIN</v>
      </c>
      <c r="L441" s="3" t="str">
        <f t="shared" si="445"/>
        <v>TwiTter</v>
      </c>
      <c r="M441" s="3" t="str">
        <f t="shared" si="3"/>
        <v>Twitter</v>
      </c>
      <c r="N441" s="3" t="str">
        <f>IFERROR(__xludf.DUMMYFUNCTION("SPLIT(M441,""&amp;"")"),"Twitter")</f>
        <v>Twitter</v>
      </c>
      <c r="O441" s="3" t="str">
        <f t="shared" si="4"/>
        <v>Twitter</v>
      </c>
      <c r="P441" s="3" t="str">
        <f t="shared" si="5"/>
        <v>visitbikaner</v>
      </c>
      <c r="Q441" s="3" t="str">
        <f t="shared" si="6"/>
        <v>Visitbikaner</v>
      </c>
      <c r="R441" s="3">
        <f t="shared" si="7"/>
        <v>5666</v>
      </c>
    </row>
    <row r="442">
      <c r="A442" s="7" t="s">
        <v>147</v>
      </c>
      <c r="B442" s="8" t="s">
        <v>19</v>
      </c>
      <c r="C442" s="8">
        <v>80500.0</v>
      </c>
      <c r="E442" s="3" t="str">
        <f>IFERROR(__xludf.DUMMYFUNCTION("SPLIT(A442,""|"")")," NEFT/Facebook/20221119/Visitjaipur/5676 ")</f>
        <v> NEFT/Facebook/20221119/Visitjaipur/5676 </v>
      </c>
      <c r="F442" s="3" t="str">
        <f>IFERROR(__xludf.DUMMYFUNCTION("SPLIT(E442,""/"")")," NEFT")</f>
        <v> NEFT</v>
      </c>
      <c r="G442" s="3" t="str">
        <f>IFERROR(__xludf.DUMMYFUNCTION("""COMPUTED_VALUE"""),"Facebook")</f>
        <v>Facebook</v>
      </c>
      <c r="H442" s="3">
        <f>IFERROR(__xludf.DUMMYFUNCTION("""COMPUTED_VALUE"""),2.0221119E7)</f>
        <v>20221119</v>
      </c>
      <c r="I442" s="3" t="str">
        <f>IFERROR(__xludf.DUMMYFUNCTION("""COMPUTED_VALUE"""),"Visitjaipur")</f>
        <v>Visitjaipur</v>
      </c>
      <c r="J442" s="3">
        <f>IFERROR(__xludf.DUMMYFUNCTION("""COMPUTED_VALUE"""),5676.0)</f>
        <v>5676</v>
      </c>
      <c r="K442" s="3" t="str">
        <f t="shared" ref="K442:L442" si="446">TRIM(F442)</f>
        <v>NEFT</v>
      </c>
      <c r="L442" s="3" t="str">
        <f t="shared" si="446"/>
        <v>Facebook</v>
      </c>
      <c r="M442" s="3" t="str">
        <f t="shared" si="3"/>
        <v>Facebook</v>
      </c>
      <c r="N442" s="3" t="str">
        <f>IFERROR(__xludf.DUMMYFUNCTION("SPLIT(M442,""&amp;"")"),"Facebook")</f>
        <v>Facebook</v>
      </c>
      <c r="O442" s="3" t="str">
        <f t="shared" si="4"/>
        <v>Facebook</v>
      </c>
      <c r="P442" s="3" t="str">
        <f t="shared" si="5"/>
        <v>Visitjaipur</v>
      </c>
      <c r="Q442" s="3" t="str">
        <f t="shared" si="6"/>
        <v>Visitjaipur</v>
      </c>
      <c r="R442" s="3">
        <f t="shared" si="7"/>
        <v>5676</v>
      </c>
    </row>
    <row r="443">
      <c r="A443" s="7" t="s">
        <v>148</v>
      </c>
      <c r="B443" s="8" t="s">
        <v>19</v>
      </c>
      <c r="C443" s="8">
        <v>53700.0</v>
      </c>
      <c r="E443" s="3" t="str">
        <f>IFERROR(__xludf.DUMMYFUNCTION("SPLIT(A443,""|"")")," CHQ/YouTube &amp;/20221122/Visitrajasthan/4564 ")</f>
        <v> CHQ/YouTube &amp;/20221122/Visitrajasthan/4564 </v>
      </c>
      <c r="F443" s="3" t="str">
        <f>IFERROR(__xludf.DUMMYFUNCTION("SPLIT(E443,""/"")")," CHQ")</f>
        <v> CHQ</v>
      </c>
      <c r="G443" s="3" t="str">
        <f>IFERROR(__xludf.DUMMYFUNCTION("""COMPUTED_VALUE"""),"YouTube &amp;")</f>
        <v>YouTube &amp;</v>
      </c>
      <c r="H443" s="3">
        <f>IFERROR(__xludf.DUMMYFUNCTION("""COMPUTED_VALUE"""),2.0221122E7)</f>
        <v>20221122</v>
      </c>
      <c r="I443" s="3" t="str">
        <f>IFERROR(__xludf.DUMMYFUNCTION("""COMPUTED_VALUE"""),"Visitrajasthan")</f>
        <v>Visitrajasthan</v>
      </c>
      <c r="J443" s="3">
        <f>IFERROR(__xludf.DUMMYFUNCTION("""COMPUTED_VALUE"""),4564.0)</f>
        <v>4564</v>
      </c>
      <c r="K443" s="3" t="str">
        <f t="shared" ref="K443:L443" si="447">TRIM(F443)</f>
        <v>CHQ</v>
      </c>
      <c r="L443" s="3" t="str">
        <f t="shared" si="447"/>
        <v>YouTube &amp;</v>
      </c>
      <c r="M443" s="3" t="str">
        <f t="shared" si="3"/>
        <v>Youtube &amp;</v>
      </c>
      <c r="N443" s="3" t="str">
        <f>IFERROR(__xludf.DUMMYFUNCTION("SPLIT(M443,""&amp;"")"),"Youtube ")</f>
        <v>Youtube </v>
      </c>
      <c r="O443" s="3" t="str">
        <f t="shared" si="4"/>
        <v>Youtube</v>
      </c>
      <c r="P443" s="3" t="str">
        <f t="shared" si="5"/>
        <v>Visitrajasthan</v>
      </c>
      <c r="Q443" s="3" t="str">
        <f t="shared" si="6"/>
        <v>Visitrajasthan</v>
      </c>
      <c r="R443" s="3">
        <f t="shared" si="7"/>
        <v>4564</v>
      </c>
    </row>
    <row r="444">
      <c r="A444" s="7" t="s">
        <v>149</v>
      </c>
      <c r="B444" s="8" t="s">
        <v>19</v>
      </c>
      <c r="C444" s="8">
        <v>44600.0</v>
      </c>
      <c r="E444" s="3" t="str">
        <f>IFERROR(__xludf.DUMMYFUNCTION("SPLIT(A444,""|"")")," VfS/Instagram/20221125/visitudaipur/4565 ")</f>
        <v> VfS/Instagram/20221125/visitudaipur/4565 </v>
      </c>
      <c r="F444" s="3" t="str">
        <f>IFERROR(__xludf.DUMMYFUNCTION("SPLIT(E444,""/"")")," VfS")</f>
        <v> VfS</v>
      </c>
      <c r="G444" s="3" t="str">
        <f>IFERROR(__xludf.DUMMYFUNCTION("""COMPUTED_VALUE"""),"Instagram")</f>
        <v>Instagram</v>
      </c>
      <c r="H444" s="3">
        <f>IFERROR(__xludf.DUMMYFUNCTION("""COMPUTED_VALUE"""),2.0221125E7)</f>
        <v>20221125</v>
      </c>
      <c r="I444" s="3" t="str">
        <f>IFERROR(__xludf.DUMMYFUNCTION("""COMPUTED_VALUE"""),"visitudaipur")</f>
        <v>visitudaipur</v>
      </c>
      <c r="J444" s="3">
        <f>IFERROR(__xludf.DUMMYFUNCTION("""COMPUTED_VALUE"""),4565.0)</f>
        <v>4565</v>
      </c>
      <c r="K444" s="3" t="str">
        <f t="shared" ref="K444:L444" si="448">TRIM(F444)</f>
        <v>VfS</v>
      </c>
      <c r="L444" s="3" t="str">
        <f t="shared" si="448"/>
        <v>Instagram</v>
      </c>
      <c r="M444" s="3" t="str">
        <f t="shared" si="3"/>
        <v>Instagram</v>
      </c>
      <c r="N444" s="3" t="str">
        <f>IFERROR(__xludf.DUMMYFUNCTION("SPLIT(M444,""&amp;"")"),"Instagram")</f>
        <v>Instagram</v>
      </c>
      <c r="O444" s="3" t="str">
        <f t="shared" si="4"/>
        <v>Instagram</v>
      </c>
      <c r="P444" s="3" t="str">
        <f t="shared" si="5"/>
        <v>visitudaipur</v>
      </c>
      <c r="Q444" s="3" t="str">
        <f t="shared" si="6"/>
        <v>Visitudaipur</v>
      </c>
      <c r="R444" s="3">
        <f t="shared" si="7"/>
        <v>4565</v>
      </c>
    </row>
    <row r="445">
      <c r="A445" s="7" t="s">
        <v>150</v>
      </c>
      <c r="B445" s="8" t="s">
        <v>19</v>
      </c>
      <c r="C445" s="8">
        <v>87900.0</v>
      </c>
      <c r="E445" s="3" t="str">
        <f>IFERROR(__xludf.DUMMYFUNCTION("SPLIT(A445,""|"")")," VIN/OfflINe &amp;/20221128/Visitjodhpur/4566 ")</f>
        <v> VIN/OfflINe &amp;/20221128/Visitjodhpur/4566 </v>
      </c>
      <c r="F445" s="3" t="str">
        <f>IFERROR(__xludf.DUMMYFUNCTION("SPLIT(E445,""/"")")," VIN")</f>
        <v> VIN</v>
      </c>
      <c r="G445" s="3" t="str">
        <f>IFERROR(__xludf.DUMMYFUNCTION("""COMPUTED_VALUE"""),"OfflINe &amp;")</f>
        <v>OfflINe &amp;</v>
      </c>
      <c r="H445" s="3">
        <f>IFERROR(__xludf.DUMMYFUNCTION("""COMPUTED_VALUE"""),2.0221128E7)</f>
        <v>20221128</v>
      </c>
      <c r="I445" s="3" t="str">
        <f>IFERROR(__xludf.DUMMYFUNCTION("""COMPUTED_VALUE"""),"Visitjodhpur")</f>
        <v>Visitjodhpur</v>
      </c>
      <c r="J445" s="3">
        <f>IFERROR(__xludf.DUMMYFUNCTION("""COMPUTED_VALUE"""),4566.0)</f>
        <v>4566</v>
      </c>
      <c r="K445" s="3" t="str">
        <f t="shared" ref="K445:L445" si="449">TRIM(F445)</f>
        <v>VIN</v>
      </c>
      <c r="L445" s="3" t="str">
        <f t="shared" si="449"/>
        <v>OfflINe &amp;</v>
      </c>
      <c r="M445" s="3" t="str">
        <f t="shared" si="3"/>
        <v>Offline &amp;</v>
      </c>
      <c r="N445" s="3" t="str">
        <f>IFERROR(__xludf.DUMMYFUNCTION("SPLIT(M445,""&amp;"")"),"Offline ")</f>
        <v>Offline </v>
      </c>
      <c r="O445" s="3" t="str">
        <f t="shared" si="4"/>
        <v>Offline</v>
      </c>
      <c r="P445" s="3" t="str">
        <f t="shared" si="5"/>
        <v>Visitjodhpur</v>
      </c>
      <c r="Q445" s="3" t="str">
        <f t="shared" si="6"/>
        <v>Visitjodhpur</v>
      </c>
      <c r="R445" s="3">
        <f t="shared" si="7"/>
        <v>4566</v>
      </c>
    </row>
    <row r="446">
      <c r="A446" s="7" t="s">
        <v>121</v>
      </c>
      <c r="B446" s="8" t="s">
        <v>20</v>
      </c>
      <c r="C446" s="8">
        <v>85200.0</v>
      </c>
      <c r="E446" s="3" t="str">
        <f>IFERROR(__xludf.DUMMYFUNCTION("SPLIT(A446,""|"")")," CHQ/Facebook/20221201/Visitjaipur/5676 ")</f>
        <v> CHQ/Facebook/20221201/Visitjaipur/5676 </v>
      </c>
      <c r="F446" s="3" t="str">
        <f>IFERROR(__xludf.DUMMYFUNCTION("SPLIT(E446,""/"")")," CHQ")</f>
        <v> CHQ</v>
      </c>
      <c r="G446" s="3" t="str">
        <f>IFERROR(__xludf.DUMMYFUNCTION("""COMPUTED_VALUE"""),"Facebook")</f>
        <v>Facebook</v>
      </c>
      <c r="H446" s="3">
        <f>IFERROR(__xludf.DUMMYFUNCTION("""COMPUTED_VALUE"""),2.0221201E7)</f>
        <v>20221201</v>
      </c>
      <c r="I446" s="3" t="str">
        <f>IFERROR(__xludf.DUMMYFUNCTION("""COMPUTED_VALUE"""),"Visitjaipur")</f>
        <v>Visitjaipur</v>
      </c>
      <c r="J446" s="3">
        <f>IFERROR(__xludf.DUMMYFUNCTION("""COMPUTED_VALUE"""),5676.0)</f>
        <v>5676</v>
      </c>
      <c r="K446" s="3" t="str">
        <f t="shared" ref="K446:L446" si="450">TRIM(F446)</f>
        <v>CHQ</v>
      </c>
      <c r="L446" s="3" t="str">
        <f t="shared" si="450"/>
        <v>Facebook</v>
      </c>
      <c r="M446" s="3" t="str">
        <f t="shared" si="3"/>
        <v>Facebook</v>
      </c>
      <c r="N446" s="3" t="str">
        <f>IFERROR(__xludf.DUMMYFUNCTION("SPLIT(M446,""&amp;"")"),"Facebook")</f>
        <v>Facebook</v>
      </c>
      <c r="O446" s="3" t="str">
        <f t="shared" si="4"/>
        <v>Facebook</v>
      </c>
      <c r="P446" s="3" t="str">
        <f t="shared" si="5"/>
        <v>Visitjaipur</v>
      </c>
      <c r="Q446" s="3" t="str">
        <f t="shared" si="6"/>
        <v>Visitjaipur</v>
      </c>
      <c r="R446" s="3">
        <f t="shared" si="7"/>
        <v>5676</v>
      </c>
    </row>
    <row r="447">
      <c r="A447" s="7" t="s">
        <v>122</v>
      </c>
      <c r="B447" s="8" t="s">
        <v>20</v>
      </c>
      <c r="C447" s="8">
        <v>35400.0</v>
      </c>
      <c r="E447" s="3" t="str">
        <f>IFERROR(__xludf.DUMMYFUNCTION("SPLIT(A447,""|"")")," VfS/YouTube/20221204/Visitrajasthan/4564 ")</f>
        <v> VfS/YouTube/20221204/Visitrajasthan/4564 </v>
      </c>
      <c r="F447" s="3" t="str">
        <f>IFERROR(__xludf.DUMMYFUNCTION("SPLIT(E447,""/"")")," VfS")</f>
        <v> VfS</v>
      </c>
      <c r="G447" s="3" t="str">
        <f>IFERROR(__xludf.DUMMYFUNCTION("""COMPUTED_VALUE"""),"YouTube")</f>
        <v>YouTube</v>
      </c>
      <c r="H447" s="3">
        <f>IFERROR(__xludf.DUMMYFUNCTION("""COMPUTED_VALUE"""),2.0221204E7)</f>
        <v>20221204</v>
      </c>
      <c r="I447" s="3" t="str">
        <f>IFERROR(__xludf.DUMMYFUNCTION("""COMPUTED_VALUE"""),"Visitrajasthan")</f>
        <v>Visitrajasthan</v>
      </c>
      <c r="J447" s="3">
        <f>IFERROR(__xludf.DUMMYFUNCTION("""COMPUTED_VALUE"""),4564.0)</f>
        <v>4564</v>
      </c>
      <c r="K447" s="3" t="str">
        <f t="shared" ref="K447:L447" si="451">TRIM(F447)</f>
        <v>VfS</v>
      </c>
      <c r="L447" s="3" t="str">
        <f t="shared" si="451"/>
        <v>YouTube</v>
      </c>
      <c r="M447" s="3" t="str">
        <f t="shared" si="3"/>
        <v>Youtube</v>
      </c>
      <c r="N447" s="3" t="str">
        <f>IFERROR(__xludf.DUMMYFUNCTION("SPLIT(M447,""&amp;"")"),"Youtube")</f>
        <v>Youtube</v>
      </c>
      <c r="O447" s="3" t="str">
        <f t="shared" si="4"/>
        <v>Youtube</v>
      </c>
      <c r="P447" s="3" t="str">
        <f t="shared" si="5"/>
        <v>Visitrajasthan</v>
      </c>
      <c r="Q447" s="3" t="str">
        <f t="shared" si="6"/>
        <v>Visitrajasthan</v>
      </c>
      <c r="R447" s="3">
        <f t="shared" si="7"/>
        <v>4564</v>
      </c>
    </row>
    <row r="448">
      <c r="A448" s="7" t="s">
        <v>123</v>
      </c>
      <c r="B448" s="8" t="s">
        <v>20</v>
      </c>
      <c r="C448" s="8">
        <v>54100.0</v>
      </c>
      <c r="E448" s="3" t="str">
        <f>IFERROR(__xludf.DUMMYFUNCTION("SPLIT(A448,""|"")")," NEFT/Instagram/20221207/visitudaipur/4565 ")</f>
        <v> NEFT/Instagram/20221207/visitudaipur/4565 </v>
      </c>
      <c r="F448" s="3" t="str">
        <f>IFERROR(__xludf.DUMMYFUNCTION("SPLIT(E448,""/"")")," NEFT")</f>
        <v> NEFT</v>
      </c>
      <c r="G448" s="3" t="str">
        <f>IFERROR(__xludf.DUMMYFUNCTION("""COMPUTED_VALUE"""),"Instagram")</f>
        <v>Instagram</v>
      </c>
      <c r="H448" s="3">
        <f>IFERROR(__xludf.DUMMYFUNCTION("""COMPUTED_VALUE"""),2.0221207E7)</f>
        <v>20221207</v>
      </c>
      <c r="I448" s="3" t="str">
        <f>IFERROR(__xludf.DUMMYFUNCTION("""COMPUTED_VALUE"""),"visitudaipur")</f>
        <v>visitudaipur</v>
      </c>
      <c r="J448" s="3">
        <f>IFERROR(__xludf.DUMMYFUNCTION("""COMPUTED_VALUE"""),4565.0)</f>
        <v>4565</v>
      </c>
      <c r="K448" s="3" t="str">
        <f t="shared" ref="K448:L448" si="452">TRIM(F448)</f>
        <v>NEFT</v>
      </c>
      <c r="L448" s="3" t="str">
        <f t="shared" si="452"/>
        <v>Instagram</v>
      </c>
      <c r="M448" s="3" t="str">
        <f t="shared" si="3"/>
        <v>Instagram</v>
      </c>
      <c r="N448" s="3" t="str">
        <f>IFERROR(__xludf.DUMMYFUNCTION("SPLIT(M448,""&amp;"")"),"Instagram")</f>
        <v>Instagram</v>
      </c>
      <c r="O448" s="3" t="str">
        <f t="shared" si="4"/>
        <v>Instagram</v>
      </c>
      <c r="P448" s="3" t="str">
        <f t="shared" si="5"/>
        <v>visitudaipur</v>
      </c>
      <c r="Q448" s="3" t="str">
        <f t="shared" si="6"/>
        <v>Visitudaipur</v>
      </c>
      <c r="R448" s="3">
        <f t="shared" si="7"/>
        <v>4565</v>
      </c>
    </row>
    <row r="449">
      <c r="A449" s="7" t="s">
        <v>124</v>
      </c>
      <c r="B449" s="8" t="s">
        <v>20</v>
      </c>
      <c r="C449" s="8">
        <v>36300.0</v>
      </c>
      <c r="E449" s="3" t="str">
        <f>IFERROR(__xludf.DUMMYFUNCTION("SPLIT(A449,""|"")")," CHQ/Offline &amp;/20221210/Visitjodhpur/4566 ")</f>
        <v> CHQ/Offline &amp;/20221210/Visitjodhpur/4566 </v>
      </c>
      <c r="F449" s="3" t="str">
        <f>IFERROR(__xludf.DUMMYFUNCTION("SPLIT(E449,""/"")")," CHQ")</f>
        <v> CHQ</v>
      </c>
      <c r="G449" s="3" t="str">
        <f>IFERROR(__xludf.DUMMYFUNCTION("""COMPUTED_VALUE"""),"Offline &amp;")</f>
        <v>Offline &amp;</v>
      </c>
      <c r="H449" s="3">
        <f>IFERROR(__xludf.DUMMYFUNCTION("""COMPUTED_VALUE"""),2.022121E7)</f>
        <v>20221210</v>
      </c>
      <c r="I449" s="3" t="str">
        <f>IFERROR(__xludf.DUMMYFUNCTION("""COMPUTED_VALUE"""),"Visitjodhpur")</f>
        <v>Visitjodhpur</v>
      </c>
      <c r="J449" s="3">
        <f>IFERROR(__xludf.DUMMYFUNCTION("""COMPUTED_VALUE"""),4566.0)</f>
        <v>4566</v>
      </c>
      <c r="K449" s="3" t="str">
        <f t="shared" ref="K449:L449" si="453">TRIM(F449)</f>
        <v>CHQ</v>
      </c>
      <c r="L449" s="3" t="str">
        <f t="shared" si="453"/>
        <v>Offline &amp;</v>
      </c>
      <c r="M449" s="3" t="str">
        <f t="shared" si="3"/>
        <v>Offline &amp;</v>
      </c>
      <c r="N449" s="3" t="str">
        <f>IFERROR(__xludf.DUMMYFUNCTION("SPLIT(M449,""&amp;"")"),"Offline ")</f>
        <v>Offline </v>
      </c>
      <c r="O449" s="3" t="str">
        <f t="shared" si="4"/>
        <v>Offline</v>
      </c>
      <c r="P449" s="3" t="str">
        <f t="shared" si="5"/>
        <v>Visitjodhpur</v>
      </c>
      <c r="Q449" s="3" t="str">
        <f t="shared" si="6"/>
        <v>Visitjodhpur</v>
      </c>
      <c r="R449" s="3">
        <f t="shared" si="7"/>
        <v>4566</v>
      </c>
    </row>
    <row r="450">
      <c r="A450" s="7" t="s">
        <v>125</v>
      </c>
      <c r="B450" s="8" t="s">
        <v>20</v>
      </c>
      <c r="C450" s="8">
        <v>75000.0</v>
      </c>
      <c r="E450" s="3" t="str">
        <f>IFERROR(__xludf.DUMMYFUNCTION("SPLIT(A450,""|"")")," VfS/Google Ads/20221213/visitJaisalmer/3455 ")</f>
        <v> VfS/Google Ads/20221213/visitJaisalmer/3455 </v>
      </c>
      <c r="F450" s="3" t="str">
        <f>IFERROR(__xludf.DUMMYFUNCTION("SPLIT(E450,""/"")")," VfS")</f>
        <v> VfS</v>
      </c>
      <c r="G450" s="3" t="str">
        <f>IFERROR(__xludf.DUMMYFUNCTION("""COMPUTED_VALUE"""),"Google Ads")</f>
        <v>Google Ads</v>
      </c>
      <c r="H450" s="3">
        <f>IFERROR(__xludf.DUMMYFUNCTION("""COMPUTED_VALUE"""),2.0221213E7)</f>
        <v>20221213</v>
      </c>
      <c r="I450" s="3" t="str">
        <f>IFERROR(__xludf.DUMMYFUNCTION("""COMPUTED_VALUE"""),"visitJaisalmer")</f>
        <v>visitJaisalmer</v>
      </c>
      <c r="J450" s="3">
        <f>IFERROR(__xludf.DUMMYFUNCTION("""COMPUTED_VALUE"""),3455.0)</f>
        <v>3455</v>
      </c>
      <c r="K450" s="3" t="str">
        <f t="shared" ref="K450:L450" si="454">TRIM(F450)</f>
        <v>VfS</v>
      </c>
      <c r="L450" s="3" t="str">
        <f t="shared" si="454"/>
        <v>Google Ads</v>
      </c>
      <c r="M450" s="3" t="str">
        <f t="shared" si="3"/>
        <v>Google Ads</v>
      </c>
      <c r="N450" s="3" t="str">
        <f>IFERROR(__xludf.DUMMYFUNCTION("SPLIT(M450,""&amp;"")"),"Google Ads")</f>
        <v>Google Ads</v>
      </c>
      <c r="O450" s="3" t="str">
        <f t="shared" si="4"/>
        <v>Google Ads</v>
      </c>
      <c r="P450" s="3" t="str">
        <f t="shared" si="5"/>
        <v>visitJaisalmer</v>
      </c>
      <c r="Q450" s="3" t="str">
        <f t="shared" si="6"/>
        <v>Visitjaisalmer</v>
      </c>
      <c r="R450" s="3">
        <f t="shared" si="7"/>
        <v>3455</v>
      </c>
    </row>
    <row r="451">
      <c r="A451" s="7" t="s">
        <v>126</v>
      </c>
      <c r="B451" s="8" t="s">
        <v>20</v>
      </c>
      <c r="C451" s="8">
        <v>70900.0</v>
      </c>
      <c r="E451" s="3" t="str">
        <f>IFERROR(__xludf.DUMMYFUNCTION("SPLIT(A451,""|"")")," VIN/TwiTter/20221216/visitbikaner/5666 ")</f>
        <v> VIN/TwiTter/20221216/visitbikaner/5666 </v>
      </c>
      <c r="F451" s="3" t="str">
        <f>IFERROR(__xludf.DUMMYFUNCTION("SPLIT(E451,""/"")")," VIN")</f>
        <v> VIN</v>
      </c>
      <c r="G451" s="3" t="str">
        <f>IFERROR(__xludf.DUMMYFUNCTION("""COMPUTED_VALUE"""),"TwiTter")</f>
        <v>TwiTter</v>
      </c>
      <c r="H451" s="3">
        <f>IFERROR(__xludf.DUMMYFUNCTION("""COMPUTED_VALUE"""),2.0221216E7)</f>
        <v>20221216</v>
      </c>
      <c r="I451" s="3" t="str">
        <f>IFERROR(__xludf.DUMMYFUNCTION("""COMPUTED_VALUE"""),"visitbikaner")</f>
        <v>visitbikaner</v>
      </c>
      <c r="J451" s="3">
        <f>IFERROR(__xludf.DUMMYFUNCTION("""COMPUTED_VALUE"""),5666.0)</f>
        <v>5666</v>
      </c>
      <c r="K451" s="3" t="str">
        <f t="shared" ref="K451:L451" si="455">TRIM(F451)</f>
        <v>VIN</v>
      </c>
      <c r="L451" s="3" t="str">
        <f t="shared" si="455"/>
        <v>TwiTter</v>
      </c>
      <c r="M451" s="3" t="str">
        <f t="shared" si="3"/>
        <v>Twitter</v>
      </c>
      <c r="N451" s="3" t="str">
        <f>IFERROR(__xludf.DUMMYFUNCTION("SPLIT(M451,""&amp;"")"),"Twitter")</f>
        <v>Twitter</v>
      </c>
      <c r="O451" s="3" t="str">
        <f t="shared" si="4"/>
        <v>Twitter</v>
      </c>
      <c r="P451" s="3" t="str">
        <f t="shared" si="5"/>
        <v>visitbikaner</v>
      </c>
      <c r="Q451" s="3" t="str">
        <f t="shared" si="6"/>
        <v>Visitbikaner</v>
      </c>
      <c r="R451" s="3">
        <f t="shared" si="7"/>
        <v>5666</v>
      </c>
    </row>
    <row r="452">
      <c r="A452" s="7" t="s">
        <v>127</v>
      </c>
      <c r="B452" s="8" t="s">
        <v>20</v>
      </c>
      <c r="C452" s="8">
        <v>23500.0</v>
      </c>
      <c r="E452" s="3" t="str">
        <f>IFERROR(__xludf.DUMMYFUNCTION("SPLIT(A452,""|"")")," NEFT/Facebook/20221219/Visitjaipur/5676 ")</f>
        <v> NEFT/Facebook/20221219/Visitjaipur/5676 </v>
      </c>
      <c r="F452" s="3" t="str">
        <f>IFERROR(__xludf.DUMMYFUNCTION("SPLIT(E452,""/"")")," NEFT")</f>
        <v> NEFT</v>
      </c>
      <c r="G452" s="3" t="str">
        <f>IFERROR(__xludf.DUMMYFUNCTION("""COMPUTED_VALUE"""),"Facebook")</f>
        <v>Facebook</v>
      </c>
      <c r="H452" s="3">
        <f>IFERROR(__xludf.DUMMYFUNCTION("""COMPUTED_VALUE"""),2.0221219E7)</f>
        <v>20221219</v>
      </c>
      <c r="I452" s="3" t="str">
        <f>IFERROR(__xludf.DUMMYFUNCTION("""COMPUTED_VALUE"""),"Visitjaipur")</f>
        <v>Visitjaipur</v>
      </c>
      <c r="J452" s="3">
        <f>IFERROR(__xludf.DUMMYFUNCTION("""COMPUTED_VALUE"""),5676.0)</f>
        <v>5676</v>
      </c>
      <c r="K452" s="3" t="str">
        <f t="shared" ref="K452:L452" si="456">TRIM(F452)</f>
        <v>NEFT</v>
      </c>
      <c r="L452" s="3" t="str">
        <f t="shared" si="456"/>
        <v>Facebook</v>
      </c>
      <c r="M452" s="3" t="str">
        <f t="shared" si="3"/>
        <v>Facebook</v>
      </c>
      <c r="N452" s="3" t="str">
        <f>IFERROR(__xludf.DUMMYFUNCTION("SPLIT(M452,""&amp;"")"),"Facebook")</f>
        <v>Facebook</v>
      </c>
      <c r="O452" s="3" t="str">
        <f t="shared" si="4"/>
        <v>Facebook</v>
      </c>
      <c r="P452" s="3" t="str">
        <f t="shared" si="5"/>
        <v>Visitjaipur</v>
      </c>
      <c r="Q452" s="3" t="str">
        <f t="shared" si="6"/>
        <v>Visitjaipur</v>
      </c>
      <c r="R452" s="3">
        <f t="shared" si="7"/>
        <v>5676</v>
      </c>
    </row>
    <row r="453">
      <c r="A453" s="7" t="s">
        <v>128</v>
      </c>
      <c r="B453" s="8" t="s">
        <v>20</v>
      </c>
      <c r="C453" s="8">
        <v>38700.0</v>
      </c>
      <c r="E453" s="3" t="str">
        <f>IFERROR(__xludf.DUMMYFUNCTION("SPLIT(A453,""|"")")," CHQ/YouTube &amp;/20221222/Visitrajasthan/4564 ")</f>
        <v> CHQ/YouTube &amp;/20221222/Visitrajasthan/4564 </v>
      </c>
      <c r="F453" s="3" t="str">
        <f>IFERROR(__xludf.DUMMYFUNCTION("SPLIT(E453,""/"")")," CHQ")</f>
        <v> CHQ</v>
      </c>
      <c r="G453" s="3" t="str">
        <f>IFERROR(__xludf.DUMMYFUNCTION("""COMPUTED_VALUE"""),"YouTube &amp;")</f>
        <v>YouTube &amp;</v>
      </c>
      <c r="H453" s="3">
        <f>IFERROR(__xludf.DUMMYFUNCTION("""COMPUTED_VALUE"""),2.0221222E7)</f>
        <v>20221222</v>
      </c>
      <c r="I453" s="3" t="str">
        <f>IFERROR(__xludf.DUMMYFUNCTION("""COMPUTED_VALUE"""),"Visitrajasthan")</f>
        <v>Visitrajasthan</v>
      </c>
      <c r="J453" s="3">
        <f>IFERROR(__xludf.DUMMYFUNCTION("""COMPUTED_VALUE"""),4564.0)</f>
        <v>4564</v>
      </c>
      <c r="K453" s="3" t="str">
        <f t="shared" ref="K453:L453" si="457">TRIM(F453)</f>
        <v>CHQ</v>
      </c>
      <c r="L453" s="3" t="str">
        <f t="shared" si="457"/>
        <v>YouTube &amp;</v>
      </c>
      <c r="M453" s="3" t="str">
        <f t="shared" si="3"/>
        <v>Youtube &amp;</v>
      </c>
      <c r="N453" s="3" t="str">
        <f>IFERROR(__xludf.DUMMYFUNCTION("SPLIT(M453,""&amp;"")"),"Youtube ")</f>
        <v>Youtube </v>
      </c>
      <c r="O453" s="3" t="str">
        <f t="shared" si="4"/>
        <v>Youtube</v>
      </c>
      <c r="P453" s="3" t="str">
        <f t="shared" si="5"/>
        <v>Visitrajasthan</v>
      </c>
      <c r="Q453" s="3" t="str">
        <f t="shared" si="6"/>
        <v>Visitrajasthan</v>
      </c>
      <c r="R453" s="3">
        <f t="shared" si="7"/>
        <v>4564</v>
      </c>
    </row>
    <row r="454">
      <c r="A454" s="7" t="s">
        <v>129</v>
      </c>
      <c r="B454" s="8" t="s">
        <v>20</v>
      </c>
      <c r="C454" s="8">
        <v>73600.0</v>
      </c>
      <c r="E454" s="3" t="str">
        <f>IFERROR(__xludf.DUMMYFUNCTION("SPLIT(A454,""|"")")," VfS/Instagram/20221225/visitudaipur/4565 ")</f>
        <v> VfS/Instagram/20221225/visitudaipur/4565 </v>
      </c>
      <c r="F454" s="3" t="str">
        <f>IFERROR(__xludf.DUMMYFUNCTION("SPLIT(E454,""/"")")," VfS")</f>
        <v> VfS</v>
      </c>
      <c r="G454" s="3" t="str">
        <f>IFERROR(__xludf.DUMMYFUNCTION("""COMPUTED_VALUE"""),"Instagram")</f>
        <v>Instagram</v>
      </c>
      <c r="H454" s="3">
        <f>IFERROR(__xludf.DUMMYFUNCTION("""COMPUTED_VALUE"""),2.0221225E7)</f>
        <v>20221225</v>
      </c>
      <c r="I454" s="3" t="str">
        <f>IFERROR(__xludf.DUMMYFUNCTION("""COMPUTED_VALUE"""),"visitudaipur")</f>
        <v>visitudaipur</v>
      </c>
      <c r="J454" s="3">
        <f>IFERROR(__xludf.DUMMYFUNCTION("""COMPUTED_VALUE"""),4565.0)</f>
        <v>4565</v>
      </c>
      <c r="K454" s="3" t="str">
        <f t="shared" ref="K454:L454" si="458">TRIM(F454)</f>
        <v>VfS</v>
      </c>
      <c r="L454" s="3" t="str">
        <f t="shared" si="458"/>
        <v>Instagram</v>
      </c>
      <c r="M454" s="3" t="str">
        <f t="shared" si="3"/>
        <v>Instagram</v>
      </c>
      <c r="N454" s="3" t="str">
        <f>IFERROR(__xludf.DUMMYFUNCTION("SPLIT(M454,""&amp;"")"),"Instagram")</f>
        <v>Instagram</v>
      </c>
      <c r="O454" s="3" t="str">
        <f t="shared" si="4"/>
        <v>Instagram</v>
      </c>
      <c r="P454" s="3" t="str">
        <f t="shared" si="5"/>
        <v>visitudaipur</v>
      </c>
      <c r="Q454" s="3" t="str">
        <f t="shared" si="6"/>
        <v>Visitudaipur</v>
      </c>
      <c r="R454" s="3">
        <f t="shared" si="7"/>
        <v>4565</v>
      </c>
    </row>
    <row r="455">
      <c r="A455" s="7" t="s">
        <v>130</v>
      </c>
      <c r="B455" s="8" t="s">
        <v>20</v>
      </c>
      <c r="C455" s="8">
        <v>99100.0</v>
      </c>
      <c r="E455" s="3" t="str">
        <f>IFERROR(__xludf.DUMMYFUNCTION("SPLIT(A455,""|"")")," VIN/OfflINe &amp;/20221228/Visitjodhpur/4566 ")</f>
        <v> VIN/OfflINe &amp;/20221228/Visitjodhpur/4566 </v>
      </c>
      <c r="F455" s="3" t="str">
        <f>IFERROR(__xludf.DUMMYFUNCTION("SPLIT(E455,""/"")")," VIN")</f>
        <v> VIN</v>
      </c>
      <c r="G455" s="3" t="str">
        <f>IFERROR(__xludf.DUMMYFUNCTION("""COMPUTED_VALUE"""),"OfflINe &amp;")</f>
        <v>OfflINe &amp;</v>
      </c>
      <c r="H455" s="3">
        <f>IFERROR(__xludf.DUMMYFUNCTION("""COMPUTED_VALUE"""),2.0221228E7)</f>
        <v>20221228</v>
      </c>
      <c r="I455" s="3" t="str">
        <f>IFERROR(__xludf.DUMMYFUNCTION("""COMPUTED_VALUE"""),"Visitjodhpur")</f>
        <v>Visitjodhpur</v>
      </c>
      <c r="J455" s="3">
        <f>IFERROR(__xludf.DUMMYFUNCTION("""COMPUTED_VALUE"""),4566.0)</f>
        <v>4566</v>
      </c>
      <c r="K455" s="3" t="str">
        <f t="shared" ref="K455:L455" si="459">TRIM(F455)</f>
        <v>VIN</v>
      </c>
      <c r="L455" s="3" t="str">
        <f t="shared" si="459"/>
        <v>OfflINe &amp;</v>
      </c>
      <c r="M455" s="3" t="str">
        <f t="shared" si="3"/>
        <v>Offline &amp;</v>
      </c>
      <c r="N455" s="3" t="str">
        <f>IFERROR(__xludf.DUMMYFUNCTION("SPLIT(M455,""&amp;"")"),"Offline ")</f>
        <v>Offline </v>
      </c>
      <c r="O455" s="3" t="str">
        <f t="shared" si="4"/>
        <v>Offline</v>
      </c>
      <c r="P455" s="3" t="str">
        <f t="shared" si="5"/>
        <v>Visitjodhpur</v>
      </c>
      <c r="Q455" s="3" t="str">
        <f t="shared" si="6"/>
        <v>Visitjodhpur</v>
      </c>
      <c r="R455" s="3">
        <f t="shared" si="7"/>
        <v>4566</v>
      </c>
    </row>
    <row r="456">
      <c r="A456" s="7" t="s">
        <v>131</v>
      </c>
      <c r="B456" s="8" t="s">
        <v>6</v>
      </c>
      <c r="C456" s="8">
        <v>28200.0</v>
      </c>
      <c r="E456" s="3" t="str">
        <f>IFERROR(__xludf.DUMMYFUNCTION("SPLIT(A456,""|"")")," CHQ/Facebook/20221001/Visitjaipur/5676 ")</f>
        <v> CHQ/Facebook/20221001/Visitjaipur/5676 </v>
      </c>
      <c r="F456" s="3" t="str">
        <f>IFERROR(__xludf.DUMMYFUNCTION("SPLIT(E456,""/"")")," CHQ")</f>
        <v> CHQ</v>
      </c>
      <c r="G456" s="3" t="str">
        <f>IFERROR(__xludf.DUMMYFUNCTION("""COMPUTED_VALUE"""),"Facebook")</f>
        <v>Facebook</v>
      </c>
      <c r="H456" s="3">
        <f>IFERROR(__xludf.DUMMYFUNCTION("""COMPUTED_VALUE"""),2.0221001E7)</f>
        <v>20221001</v>
      </c>
      <c r="I456" s="3" t="str">
        <f>IFERROR(__xludf.DUMMYFUNCTION("""COMPUTED_VALUE"""),"Visitjaipur")</f>
        <v>Visitjaipur</v>
      </c>
      <c r="J456" s="3">
        <f>IFERROR(__xludf.DUMMYFUNCTION("""COMPUTED_VALUE"""),5676.0)</f>
        <v>5676</v>
      </c>
      <c r="K456" s="3" t="str">
        <f t="shared" ref="K456:L456" si="460">TRIM(F456)</f>
        <v>CHQ</v>
      </c>
      <c r="L456" s="3" t="str">
        <f t="shared" si="460"/>
        <v>Facebook</v>
      </c>
      <c r="M456" s="3" t="str">
        <f t="shared" si="3"/>
        <v>Facebook</v>
      </c>
      <c r="N456" s="3" t="str">
        <f>IFERROR(__xludf.DUMMYFUNCTION("SPLIT(M456,""&amp;"")"),"Facebook")</f>
        <v>Facebook</v>
      </c>
      <c r="O456" s="3" t="str">
        <f t="shared" si="4"/>
        <v>Facebook</v>
      </c>
      <c r="P456" s="3" t="str">
        <f t="shared" si="5"/>
        <v>Visitjaipur</v>
      </c>
      <c r="Q456" s="3" t="str">
        <f t="shared" si="6"/>
        <v>Visitjaipur</v>
      </c>
      <c r="R456" s="3">
        <f t="shared" si="7"/>
        <v>5676</v>
      </c>
    </row>
    <row r="457">
      <c r="A457" s="7" t="s">
        <v>132</v>
      </c>
      <c r="B457" s="8" t="s">
        <v>6</v>
      </c>
      <c r="C457" s="8">
        <v>27500.0</v>
      </c>
      <c r="E457" s="3" t="str">
        <f>IFERROR(__xludf.DUMMYFUNCTION("SPLIT(A457,""|"")")," VfS/YouTube/20221004/Visitrajasthan/4564 ")</f>
        <v> VfS/YouTube/20221004/Visitrajasthan/4564 </v>
      </c>
      <c r="F457" s="3" t="str">
        <f>IFERROR(__xludf.DUMMYFUNCTION("SPLIT(E457,""/"")")," VfS")</f>
        <v> VfS</v>
      </c>
      <c r="G457" s="3" t="str">
        <f>IFERROR(__xludf.DUMMYFUNCTION("""COMPUTED_VALUE"""),"YouTube")</f>
        <v>YouTube</v>
      </c>
      <c r="H457" s="3">
        <f>IFERROR(__xludf.DUMMYFUNCTION("""COMPUTED_VALUE"""),2.0221004E7)</f>
        <v>20221004</v>
      </c>
      <c r="I457" s="3" t="str">
        <f>IFERROR(__xludf.DUMMYFUNCTION("""COMPUTED_VALUE"""),"Visitrajasthan")</f>
        <v>Visitrajasthan</v>
      </c>
      <c r="J457" s="3">
        <f>IFERROR(__xludf.DUMMYFUNCTION("""COMPUTED_VALUE"""),4564.0)</f>
        <v>4564</v>
      </c>
      <c r="K457" s="3" t="str">
        <f t="shared" ref="K457:L457" si="461">TRIM(F457)</f>
        <v>VfS</v>
      </c>
      <c r="L457" s="3" t="str">
        <f t="shared" si="461"/>
        <v>YouTube</v>
      </c>
      <c r="M457" s="3" t="str">
        <f t="shared" si="3"/>
        <v>Youtube</v>
      </c>
      <c r="N457" s="3" t="str">
        <f>IFERROR(__xludf.DUMMYFUNCTION("SPLIT(M457,""&amp;"")"),"Youtube")</f>
        <v>Youtube</v>
      </c>
      <c r="O457" s="3" t="str">
        <f t="shared" si="4"/>
        <v>Youtube</v>
      </c>
      <c r="P457" s="3" t="str">
        <f t="shared" si="5"/>
        <v>Visitrajasthan</v>
      </c>
      <c r="Q457" s="3" t="str">
        <f t="shared" si="6"/>
        <v>Visitrajasthan</v>
      </c>
      <c r="R457" s="3">
        <f t="shared" si="7"/>
        <v>4564</v>
      </c>
    </row>
    <row r="458">
      <c r="A458" s="7" t="s">
        <v>133</v>
      </c>
      <c r="B458" s="8" t="s">
        <v>6</v>
      </c>
      <c r="C458" s="8">
        <v>96800.0</v>
      </c>
      <c r="E458" s="3" t="str">
        <f>IFERROR(__xludf.DUMMYFUNCTION("SPLIT(A458,""|"")")," NEFT/Instagram/20221007/visitudaipur/4565 ")</f>
        <v> NEFT/Instagram/20221007/visitudaipur/4565 </v>
      </c>
      <c r="F458" s="3" t="str">
        <f>IFERROR(__xludf.DUMMYFUNCTION("SPLIT(E458,""/"")")," NEFT")</f>
        <v> NEFT</v>
      </c>
      <c r="G458" s="3" t="str">
        <f>IFERROR(__xludf.DUMMYFUNCTION("""COMPUTED_VALUE"""),"Instagram")</f>
        <v>Instagram</v>
      </c>
      <c r="H458" s="3">
        <f>IFERROR(__xludf.DUMMYFUNCTION("""COMPUTED_VALUE"""),2.0221007E7)</f>
        <v>20221007</v>
      </c>
      <c r="I458" s="3" t="str">
        <f>IFERROR(__xludf.DUMMYFUNCTION("""COMPUTED_VALUE"""),"visitudaipur")</f>
        <v>visitudaipur</v>
      </c>
      <c r="J458" s="3">
        <f>IFERROR(__xludf.DUMMYFUNCTION("""COMPUTED_VALUE"""),4565.0)</f>
        <v>4565</v>
      </c>
      <c r="K458" s="3" t="str">
        <f t="shared" ref="K458:L458" si="462">TRIM(F458)</f>
        <v>NEFT</v>
      </c>
      <c r="L458" s="3" t="str">
        <f t="shared" si="462"/>
        <v>Instagram</v>
      </c>
      <c r="M458" s="3" t="str">
        <f t="shared" si="3"/>
        <v>Instagram</v>
      </c>
      <c r="N458" s="3" t="str">
        <f>IFERROR(__xludf.DUMMYFUNCTION("SPLIT(M458,""&amp;"")"),"Instagram")</f>
        <v>Instagram</v>
      </c>
      <c r="O458" s="3" t="str">
        <f t="shared" si="4"/>
        <v>Instagram</v>
      </c>
      <c r="P458" s="3" t="str">
        <f t="shared" si="5"/>
        <v>visitudaipur</v>
      </c>
      <c r="Q458" s="3" t="str">
        <f t="shared" si="6"/>
        <v>Visitudaipur</v>
      </c>
      <c r="R458" s="3">
        <f t="shared" si="7"/>
        <v>4565</v>
      </c>
    </row>
    <row r="459">
      <c r="A459" s="7" t="s">
        <v>134</v>
      </c>
      <c r="B459" s="8" t="s">
        <v>6</v>
      </c>
      <c r="C459" s="8">
        <v>81000.0</v>
      </c>
      <c r="E459" s="3" t="str">
        <f>IFERROR(__xludf.DUMMYFUNCTION("SPLIT(A459,""|"")")," CHQ/Offline &amp;/20221010/Visitjodhpur/4566 ")</f>
        <v> CHQ/Offline &amp;/20221010/Visitjodhpur/4566 </v>
      </c>
      <c r="F459" s="3" t="str">
        <f>IFERROR(__xludf.DUMMYFUNCTION("SPLIT(E459,""/"")")," CHQ")</f>
        <v> CHQ</v>
      </c>
      <c r="G459" s="3" t="str">
        <f>IFERROR(__xludf.DUMMYFUNCTION("""COMPUTED_VALUE"""),"Offline &amp;")</f>
        <v>Offline &amp;</v>
      </c>
      <c r="H459" s="3">
        <f>IFERROR(__xludf.DUMMYFUNCTION("""COMPUTED_VALUE"""),2.022101E7)</f>
        <v>20221010</v>
      </c>
      <c r="I459" s="3" t="str">
        <f>IFERROR(__xludf.DUMMYFUNCTION("""COMPUTED_VALUE"""),"Visitjodhpur")</f>
        <v>Visitjodhpur</v>
      </c>
      <c r="J459" s="3">
        <f>IFERROR(__xludf.DUMMYFUNCTION("""COMPUTED_VALUE"""),4566.0)</f>
        <v>4566</v>
      </c>
      <c r="K459" s="3" t="str">
        <f t="shared" ref="K459:L459" si="463">TRIM(F459)</f>
        <v>CHQ</v>
      </c>
      <c r="L459" s="3" t="str">
        <f t="shared" si="463"/>
        <v>Offline &amp;</v>
      </c>
      <c r="M459" s="3" t="str">
        <f t="shared" si="3"/>
        <v>Offline &amp;</v>
      </c>
      <c r="N459" s="3" t="str">
        <f>IFERROR(__xludf.DUMMYFUNCTION("SPLIT(M459,""&amp;"")"),"Offline ")</f>
        <v>Offline </v>
      </c>
      <c r="O459" s="3" t="str">
        <f t="shared" si="4"/>
        <v>Offline</v>
      </c>
      <c r="P459" s="3" t="str">
        <f t="shared" si="5"/>
        <v>Visitjodhpur</v>
      </c>
      <c r="Q459" s="3" t="str">
        <f t="shared" si="6"/>
        <v>Visitjodhpur</v>
      </c>
      <c r="R459" s="3">
        <f t="shared" si="7"/>
        <v>4566</v>
      </c>
    </row>
    <row r="460">
      <c r="A460" s="7" t="s">
        <v>151</v>
      </c>
      <c r="B460" s="8" t="s">
        <v>6</v>
      </c>
      <c r="C460" s="8">
        <v>18900.0</v>
      </c>
      <c r="E460" s="3" t="str">
        <f>IFERROR(__xludf.DUMMYFUNCTION("SPLIT(A460,""|"")")," VfS/Google Ads/20221013/visitJaisalmer/3455 ")</f>
        <v> VfS/Google Ads/20221013/visitJaisalmer/3455 </v>
      </c>
      <c r="F460" s="3" t="str">
        <f>IFERROR(__xludf.DUMMYFUNCTION("SPLIT(E460,""/"")")," VfS")</f>
        <v> VfS</v>
      </c>
      <c r="G460" s="3" t="str">
        <f>IFERROR(__xludf.DUMMYFUNCTION("""COMPUTED_VALUE"""),"Google Ads")</f>
        <v>Google Ads</v>
      </c>
      <c r="H460" s="3">
        <f>IFERROR(__xludf.DUMMYFUNCTION("""COMPUTED_VALUE"""),2.0221013E7)</f>
        <v>20221013</v>
      </c>
      <c r="I460" s="3" t="str">
        <f>IFERROR(__xludf.DUMMYFUNCTION("""COMPUTED_VALUE"""),"visitJaisalmer")</f>
        <v>visitJaisalmer</v>
      </c>
      <c r="J460" s="3">
        <f>IFERROR(__xludf.DUMMYFUNCTION("""COMPUTED_VALUE"""),3455.0)</f>
        <v>3455</v>
      </c>
      <c r="K460" s="3" t="str">
        <f t="shared" ref="K460:L460" si="464">TRIM(F460)</f>
        <v>VfS</v>
      </c>
      <c r="L460" s="3" t="str">
        <f t="shared" si="464"/>
        <v>Google Ads</v>
      </c>
      <c r="M460" s="3" t="str">
        <f t="shared" si="3"/>
        <v>Google Ads</v>
      </c>
      <c r="N460" s="3" t="str">
        <f>IFERROR(__xludf.DUMMYFUNCTION("SPLIT(M460,""&amp;"")"),"Google Ads")</f>
        <v>Google Ads</v>
      </c>
      <c r="O460" s="3" t="str">
        <f t="shared" si="4"/>
        <v>Google Ads</v>
      </c>
      <c r="P460" s="3" t="str">
        <f t="shared" si="5"/>
        <v>visitJaisalmer</v>
      </c>
      <c r="Q460" s="3" t="str">
        <f t="shared" si="6"/>
        <v>Visitjaisalmer</v>
      </c>
      <c r="R460" s="3">
        <f t="shared" si="7"/>
        <v>3455</v>
      </c>
    </row>
    <row r="461">
      <c r="A461" s="7" t="s">
        <v>136</v>
      </c>
      <c r="B461" s="8" t="s">
        <v>6</v>
      </c>
      <c r="C461" s="8">
        <v>56900.0</v>
      </c>
      <c r="E461" s="3" t="str">
        <f>IFERROR(__xludf.DUMMYFUNCTION("SPLIT(A461,""|"")")," VIN/TwiTter/20221016/visitbikaner/5666 ")</f>
        <v> VIN/TwiTter/20221016/visitbikaner/5666 </v>
      </c>
      <c r="F461" s="3" t="str">
        <f>IFERROR(__xludf.DUMMYFUNCTION("SPLIT(E461,""/"")")," VIN")</f>
        <v> VIN</v>
      </c>
      <c r="G461" s="3" t="str">
        <f>IFERROR(__xludf.DUMMYFUNCTION("""COMPUTED_VALUE"""),"TwiTter")</f>
        <v>TwiTter</v>
      </c>
      <c r="H461" s="3">
        <f>IFERROR(__xludf.DUMMYFUNCTION("""COMPUTED_VALUE"""),2.0221016E7)</f>
        <v>20221016</v>
      </c>
      <c r="I461" s="3" t="str">
        <f>IFERROR(__xludf.DUMMYFUNCTION("""COMPUTED_VALUE"""),"visitbikaner")</f>
        <v>visitbikaner</v>
      </c>
      <c r="J461" s="3">
        <f>IFERROR(__xludf.DUMMYFUNCTION("""COMPUTED_VALUE"""),5666.0)</f>
        <v>5666</v>
      </c>
      <c r="K461" s="3" t="str">
        <f t="shared" ref="K461:L461" si="465">TRIM(F461)</f>
        <v>VIN</v>
      </c>
      <c r="L461" s="3" t="str">
        <f t="shared" si="465"/>
        <v>TwiTter</v>
      </c>
      <c r="M461" s="3" t="str">
        <f t="shared" si="3"/>
        <v>Twitter</v>
      </c>
      <c r="N461" s="3" t="str">
        <f>IFERROR(__xludf.DUMMYFUNCTION("SPLIT(M461,""&amp;"")"),"Twitter")</f>
        <v>Twitter</v>
      </c>
      <c r="O461" s="3" t="str">
        <f t="shared" si="4"/>
        <v>Twitter</v>
      </c>
      <c r="P461" s="3" t="str">
        <f t="shared" si="5"/>
        <v>visitbikaner</v>
      </c>
      <c r="Q461" s="3" t="str">
        <f t="shared" si="6"/>
        <v>Visitbikaner</v>
      </c>
      <c r="R461" s="3">
        <f t="shared" si="7"/>
        <v>5666</v>
      </c>
    </row>
    <row r="462">
      <c r="A462" s="7" t="s">
        <v>137</v>
      </c>
      <c r="B462" s="8" t="s">
        <v>6</v>
      </c>
      <c r="C462" s="8">
        <v>53000.0</v>
      </c>
      <c r="E462" s="3" t="str">
        <f>IFERROR(__xludf.DUMMYFUNCTION("SPLIT(A462,""|"")")," NEFT/Facebook/20221019/Visitjaipur/5676 ")</f>
        <v> NEFT/Facebook/20221019/Visitjaipur/5676 </v>
      </c>
      <c r="F462" s="3" t="str">
        <f>IFERROR(__xludf.DUMMYFUNCTION("SPLIT(E462,""/"")")," NEFT")</f>
        <v> NEFT</v>
      </c>
      <c r="G462" s="3" t="str">
        <f>IFERROR(__xludf.DUMMYFUNCTION("""COMPUTED_VALUE"""),"Facebook")</f>
        <v>Facebook</v>
      </c>
      <c r="H462" s="3">
        <f>IFERROR(__xludf.DUMMYFUNCTION("""COMPUTED_VALUE"""),2.0221019E7)</f>
        <v>20221019</v>
      </c>
      <c r="I462" s="3" t="str">
        <f>IFERROR(__xludf.DUMMYFUNCTION("""COMPUTED_VALUE"""),"Visitjaipur")</f>
        <v>Visitjaipur</v>
      </c>
      <c r="J462" s="3">
        <f>IFERROR(__xludf.DUMMYFUNCTION("""COMPUTED_VALUE"""),5676.0)</f>
        <v>5676</v>
      </c>
      <c r="K462" s="3" t="str">
        <f t="shared" ref="K462:L462" si="466">TRIM(F462)</f>
        <v>NEFT</v>
      </c>
      <c r="L462" s="3" t="str">
        <f t="shared" si="466"/>
        <v>Facebook</v>
      </c>
      <c r="M462" s="3" t="str">
        <f t="shared" si="3"/>
        <v>Facebook</v>
      </c>
      <c r="N462" s="3" t="str">
        <f>IFERROR(__xludf.DUMMYFUNCTION("SPLIT(M462,""&amp;"")"),"Facebook")</f>
        <v>Facebook</v>
      </c>
      <c r="O462" s="3" t="str">
        <f t="shared" si="4"/>
        <v>Facebook</v>
      </c>
      <c r="P462" s="3" t="str">
        <f t="shared" si="5"/>
        <v>Visitjaipur</v>
      </c>
      <c r="Q462" s="3" t="str">
        <f t="shared" si="6"/>
        <v>Visitjaipur</v>
      </c>
      <c r="R462" s="3">
        <f t="shared" si="7"/>
        <v>5676</v>
      </c>
    </row>
    <row r="463">
      <c r="A463" s="7" t="s">
        <v>138</v>
      </c>
      <c r="B463" s="8" t="s">
        <v>6</v>
      </c>
      <c r="C463" s="8">
        <v>72600.0</v>
      </c>
      <c r="E463" s="3" t="str">
        <f>IFERROR(__xludf.DUMMYFUNCTION("SPLIT(A463,""|"")")," CHQ/YouTube &amp;/20221022/Visitrajasthan/4564 ")</f>
        <v> CHQ/YouTube &amp;/20221022/Visitrajasthan/4564 </v>
      </c>
      <c r="F463" s="3" t="str">
        <f>IFERROR(__xludf.DUMMYFUNCTION("SPLIT(E463,""/"")")," CHQ")</f>
        <v> CHQ</v>
      </c>
      <c r="G463" s="3" t="str">
        <f>IFERROR(__xludf.DUMMYFUNCTION("""COMPUTED_VALUE"""),"YouTube &amp;")</f>
        <v>YouTube &amp;</v>
      </c>
      <c r="H463" s="3">
        <f>IFERROR(__xludf.DUMMYFUNCTION("""COMPUTED_VALUE"""),2.0221022E7)</f>
        <v>20221022</v>
      </c>
      <c r="I463" s="3" t="str">
        <f>IFERROR(__xludf.DUMMYFUNCTION("""COMPUTED_VALUE"""),"Visitrajasthan")</f>
        <v>Visitrajasthan</v>
      </c>
      <c r="J463" s="3">
        <f>IFERROR(__xludf.DUMMYFUNCTION("""COMPUTED_VALUE"""),4564.0)</f>
        <v>4564</v>
      </c>
      <c r="K463" s="3" t="str">
        <f t="shared" ref="K463:L463" si="467">TRIM(F463)</f>
        <v>CHQ</v>
      </c>
      <c r="L463" s="3" t="str">
        <f t="shared" si="467"/>
        <v>YouTube &amp;</v>
      </c>
      <c r="M463" s="3" t="str">
        <f t="shared" si="3"/>
        <v>Youtube &amp;</v>
      </c>
      <c r="N463" s="3" t="str">
        <f>IFERROR(__xludf.DUMMYFUNCTION("SPLIT(M463,""&amp;"")"),"Youtube ")</f>
        <v>Youtube </v>
      </c>
      <c r="O463" s="3" t="str">
        <f t="shared" si="4"/>
        <v>Youtube</v>
      </c>
      <c r="P463" s="3" t="str">
        <f t="shared" si="5"/>
        <v>Visitrajasthan</v>
      </c>
      <c r="Q463" s="3" t="str">
        <f t="shared" si="6"/>
        <v>Visitrajasthan</v>
      </c>
      <c r="R463" s="3">
        <f t="shared" si="7"/>
        <v>4564</v>
      </c>
    </row>
    <row r="464">
      <c r="A464" s="7" t="s">
        <v>139</v>
      </c>
      <c r="B464" s="8" t="s">
        <v>6</v>
      </c>
      <c r="C464" s="8">
        <v>58200.0</v>
      </c>
      <c r="E464" s="3" t="str">
        <f>IFERROR(__xludf.DUMMYFUNCTION("SPLIT(A464,""|"")")," VfS/Instagram/20221025/visitudaipur/4565 ")</f>
        <v> VfS/Instagram/20221025/visitudaipur/4565 </v>
      </c>
      <c r="F464" s="3" t="str">
        <f>IFERROR(__xludf.DUMMYFUNCTION("SPLIT(E464,""/"")")," VfS")</f>
        <v> VfS</v>
      </c>
      <c r="G464" s="3" t="str">
        <f>IFERROR(__xludf.DUMMYFUNCTION("""COMPUTED_VALUE"""),"Instagram")</f>
        <v>Instagram</v>
      </c>
      <c r="H464" s="3">
        <f>IFERROR(__xludf.DUMMYFUNCTION("""COMPUTED_VALUE"""),2.0221025E7)</f>
        <v>20221025</v>
      </c>
      <c r="I464" s="3" t="str">
        <f>IFERROR(__xludf.DUMMYFUNCTION("""COMPUTED_VALUE"""),"visitudaipur")</f>
        <v>visitudaipur</v>
      </c>
      <c r="J464" s="3">
        <f>IFERROR(__xludf.DUMMYFUNCTION("""COMPUTED_VALUE"""),4565.0)</f>
        <v>4565</v>
      </c>
      <c r="K464" s="3" t="str">
        <f t="shared" ref="K464:L464" si="468">TRIM(F464)</f>
        <v>VfS</v>
      </c>
      <c r="L464" s="3" t="str">
        <f t="shared" si="468"/>
        <v>Instagram</v>
      </c>
      <c r="M464" s="3" t="str">
        <f t="shared" si="3"/>
        <v>Instagram</v>
      </c>
      <c r="N464" s="3" t="str">
        <f>IFERROR(__xludf.DUMMYFUNCTION("SPLIT(M464,""&amp;"")"),"Instagram")</f>
        <v>Instagram</v>
      </c>
      <c r="O464" s="3" t="str">
        <f t="shared" si="4"/>
        <v>Instagram</v>
      </c>
      <c r="P464" s="3" t="str">
        <f t="shared" si="5"/>
        <v>visitudaipur</v>
      </c>
      <c r="Q464" s="3" t="str">
        <f t="shared" si="6"/>
        <v>Visitudaipur</v>
      </c>
      <c r="R464" s="3">
        <f t="shared" si="7"/>
        <v>4565</v>
      </c>
    </row>
    <row r="465">
      <c r="A465" s="7" t="s">
        <v>140</v>
      </c>
      <c r="B465" s="8" t="s">
        <v>6</v>
      </c>
      <c r="C465" s="8">
        <v>96200.0</v>
      </c>
      <c r="E465" s="3" t="str">
        <f>IFERROR(__xludf.DUMMYFUNCTION("SPLIT(A465,""|"")")," VIN/OfflINe &amp;/20221028/Visitjodhpur/4566 ")</f>
        <v> VIN/OfflINe &amp;/20221028/Visitjodhpur/4566 </v>
      </c>
      <c r="F465" s="3" t="str">
        <f>IFERROR(__xludf.DUMMYFUNCTION("SPLIT(E465,""/"")")," VIN")</f>
        <v> VIN</v>
      </c>
      <c r="G465" s="3" t="str">
        <f>IFERROR(__xludf.DUMMYFUNCTION("""COMPUTED_VALUE"""),"OfflINe &amp;")</f>
        <v>OfflINe &amp;</v>
      </c>
      <c r="H465" s="3">
        <f>IFERROR(__xludf.DUMMYFUNCTION("""COMPUTED_VALUE"""),2.0221028E7)</f>
        <v>20221028</v>
      </c>
      <c r="I465" s="3" t="str">
        <f>IFERROR(__xludf.DUMMYFUNCTION("""COMPUTED_VALUE"""),"Visitjodhpur")</f>
        <v>Visitjodhpur</v>
      </c>
      <c r="J465" s="3">
        <f>IFERROR(__xludf.DUMMYFUNCTION("""COMPUTED_VALUE"""),4566.0)</f>
        <v>4566</v>
      </c>
      <c r="K465" s="3" t="str">
        <f t="shared" ref="K465:L465" si="469">TRIM(F465)</f>
        <v>VIN</v>
      </c>
      <c r="L465" s="3" t="str">
        <f t="shared" si="469"/>
        <v>OfflINe &amp;</v>
      </c>
      <c r="M465" s="3" t="str">
        <f t="shared" si="3"/>
        <v>Offline &amp;</v>
      </c>
      <c r="N465" s="3" t="str">
        <f>IFERROR(__xludf.DUMMYFUNCTION("SPLIT(M465,""&amp;"")"),"Offline ")</f>
        <v>Offline </v>
      </c>
      <c r="O465" s="3" t="str">
        <f t="shared" si="4"/>
        <v>Offline</v>
      </c>
      <c r="P465" s="3" t="str">
        <f t="shared" si="5"/>
        <v>Visitjodhpur</v>
      </c>
      <c r="Q465" s="3" t="str">
        <f t="shared" si="6"/>
        <v>Visitjodhpur</v>
      </c>
      <c r="R465" s="3">
        <f t="shared" si="7"/>
        <v>4566</v>
      </c>
    </row>
    <row r="466">
      <c r="A466" s="7" t="s">
        <v>141</v>
      </c>
      <c r="B466" s="8" t="s">
        <v>19</v>
      </c>
      <c r="C466" s="8">
        <v>50500.0</v>
      </c>
      <c r="E466" s="3" t="str">
        <f>IFERROR(__xludf.DUMMYFUNCTION("SPLIT(A466,""|"")")," CHQ/Facebook/20221101/Visitjaipur/5676 ")</f>
        <v> CHQ/Facebook/20221101/Visitjaipur/5676 </v>
      </c>
      <c r="F466" s="3" t="str">
        <f>IFERROR(__xludf.DUMMYFUNCTION("SPLIT(E466,""/"")")," CHQ")</f>
        <v> CHQ</v>
      </c>
      <c r="G466" s="3" t="str">
        <f>IFERROR(__xludf.DUMMYFUNCTION("""COMPUTED_VALUE"""),"Facebook")</f>
        <v>Facebook</v>
      </c>
      <c r="H466" s="3">
        <f>IFERROR(__xludf.DUMMYFUNCTION("""COMPUTED_VALUE"""),2.0221101E7)</f>
        <v>20221101</v>
      </c>
      <c r="I466" s="3" t="str">
        <f>IFERROR(__xludf.DUMMYFUNCTION("""COMPUTED_VALUE"""),"Visitjaipur")</f>
        <v>Visitjaipur</v>
      </c>
      <c r="J466" s="3">
        <f>IFERROR(__xludf.DUMMYFUNCTION("""COMPUTED_VALUE"""),5676.0)</f>
        <v>5676</v>
      </c>
      <c r="K466" s="3" t="str">
        <f t="shared" ref="K466:L466" si="470">TRIM(F466)</f>
        <v>CHQ</v>
      </c>
      <c r="L466" s="3" t="str">
        <f t="shared" si="470"/>
        <v>Facebook</v>
      </c>
      <c r="M466" s="3" t="str">
        <f t="shared" si="3"/>
        <v>Facebook</v>
      </c>
      <c r="N466" s="3" t="str">
        <f>IFERROR(__xludf.DUMMYFUNCTION("SPLIT(M466,""&amp;"")"),"Facebook")</f>
        <v>Facebook</v>
      </c>
      <c r="O466" s="3" t="str">
        <f t="shared" si="4"/>
        <v>Facebook</v>
      </c>
      <c r="P466" s="3" t="str">
        <f t="shared" si="5"/>
        <v>Visitjaipur</v>
      </c>
      <c r="Q466" s="3" t="str">
        <f t="shared" si="6"/>
        <v>Visitjaipur</v>
      </c>
      <c r="R466" s="3">
        <f t="shared" si="7"/>
        <v>5676</v>
      </c>
    </row>
    <row r="467">
      <c r="A467" s="7" t="s">
        <v>142</v>
      </c>
      <c r="B467" s="8" t="s">
        <v>19</v>
      </c>
      <c r="C467" s="8">
        <v>22900.0</v>
      </c>
      <c r="E467" s="3" t="str">
        <f>IFERROR(__xludf.DUMMYFUNCTION("SPLIT(A467,""|"")")," VfS/YouTube/20221104/Visitrajasthan/4564 ")</f>
        <v> VfS/YouTube/20221104/Visitrajasthan/4564 </v>
      </c>
      <c r="F467" s="3" t="str">
        <f>IFERROR(__xludf.DUMMYFUNCTION("SPLIT(E467,""/"")")," VfS")</f>
        <v> VfS</v>
      </c>
      <c r="G467" s="3" t="str">
        <f>IFERROR(__xludf.DUMMYFUNCTION("""COMPUTED_VALUE"""),"YouTube")</f>
        <v>YouTube</v>
      </c>
      <c r="H467" s="3">
        <f>IFERROR(__xludf.DUMMYFUNCTION("""COMPUTED_VALUE"""),2.0221104E7)</f>
        <v>20221104</v>
      </c>
      <c r="I467" s="3" t="str">
        <f>IFERROR(__xludf.DUMMYFUNCTION("""COMPUTED_VALUE"""),"Visitrajasthan")</f>
        <v>Visitrajasthan</v>
      </c>
      <c r="J467" s="3">
        <f>IFERROR(__xludf.DUMMYFUNCTION("""COMPUTED_VALUE"""),4564.0)</f>
        <v>4564</v>
      </c>
      <c r="K467" s="3" t="str">
        <f t="shared" ref="K467:L467" si="471">TRIM(F467)</f>
        <v>VfS</v>
      </c>
      <c r="L467" s="3" t="str">
        <f t="shared" si="471"/>
        <v>YouTube</v>
      </c>
      <c r="M467" s="3" t="str">
        <f t="shared" si="3"/>
        <v>Youtube</v>
      </c>
      <c r="N467" s="3" t="str">
        <f>IFERROR(__xludf.DUMMYFUNCTION("SPLIT(M467,""&amp;"")"),"Youtube")</f>
        <v>Youtube</v>
      </c>
      <c r="O467" s="3" t="str">
        <f t="shared" si="4"/>
        <v>Youtube</v>
      </c>
      <c r="P467" s="3" t="str">
        <f t="shared" si="5"/>
        <v>Visitrajasthan</v>
      </c>
      <c r="Q467" s="3" t="str">
        <f t="shared" si="6"/>
        <v>Visitrajasthan</v>
      </c>
      <c r="R467" s="3">
        <f t="shared" si="7"/>
        <v>4564</v>
      </c>
    </row>
    <row r="468">
      <c r="A468" s="7" t="s">
        <v>143</v>
      </c>
      <c r="B468" s="8" t="s">
        <v>19</v>
      </c>
      <c r="C468" s="8">
        <v>14500.0</v>
      </c>
      <c r="E468" s="3" t="str">
        <f>IFERROR(__xludf.DUMMYFUNCTION("SPLIT(A468,""|"")")," NEFT/Instagram/20221107/visitudaipur/4565 ")</f>
        <v> NEFT/Instagram/20221107/visitudaipur/4565 </v>
      </c>
      <c r="F468" s="3" t="str">
        <f>IFERROR(__xludf.DUMMYFUNCTION("SPLIT(E468,""/"")")," NEFT")</f>
        <v> NEFT</v>
      </c>
      <c r="G468" s="3" t="str">
        <f>IFERROR(__xludf.DUMMYFUNCTION("""COMPUTED_VALUE"""),"Instagram")</f>
        <v>Instagram</v>
      </c>
      <c r="H468" s="3">
        <f>IFERROR(__xludf.DUMMYFUNCTION("""COMPUTED_VALUE"""),2.0221107E7)</f>
        <v>20221107</v>
      </c>
      <c r="I468" s="3" t="str">
        <f>IFERROR(__xludf.DUMMYFUNCTION("""COMPUTED_VALUE"""),"visitudaipur")</f>
        <v>visitudaipur</v>
      </c>
      <c r="J468" s="3">
        <f>IFERROR(__xludf.DUMMYFUNCTION("""COMPUTED_VALUE"""),4565.0)</f>
        <v>4565</v>
      </c>
      <c r="K468" s="3" t="str">
        <f t="shared" ref="K468:L468" si="472">TRIM(F468)</f>
        <v>NEFT</v>
      </c>
      <c r="L468" s="3" t="str">
        <f t="shared" si="472"/>
        <v>Instagram</v>
      </c>
      <c r="M468" s="3" t="str">
        <f t="shared" si="3"/>
        <v>Instagram</v>
      </c>
      <c r="N468" s="3" t="str">
        <f>IFERROR(__xludf.DUMMYFUNCTION("SPLIT(M468,""&amp;"")"),"Instagram")</f>
        <v>Instagram</v>
      </c>
      <c r="O468" s="3" t="str">
        <f t="shared" si="4"/>
        <v>Instagram</v>
      </c>
      <c r="P468" s="3" t="str">
        <f t="shared" si="5"/>
        <v>visitudaipur</v>
      </c>
      <c r="Q468" s="3" t="str">
        <f t="shared" si="6"/>
        <v>Visitudaipur</v>
      </c>
      <c r="R468" s="3">
        <f t="shared" si="7"/>
        <v>4565</v>
      </c>
    </row>
    <row r="469">
      <c r="A469" s="7" t="s">
        <v>144</v>
      </c>
      <c r="B469" s="8" t="s">
        <v>19</v>
      </c>
      <c r="C469" s="8">
        <v>56100.0</v>
      </c>
      <c r="E469" s="3" t="str">
        <f>IFERROR(__xludf.DUMMYFUNCTION("SPLIT(A469,""|"")")," CHQ/Offline &amp;/20221110/Visitjodhpur/4566 ")</f>
        <v> CHQ/Offline &amp;/20221110/Visitjodhpur/4566 </v>
      </c>
      <c r="F469" s="3" t="str">
        <f>IFERROR(__xludf.DUMMYFUNCTION("SPLIT(E469,""/"")")," CHQ")</f>
        <v> CHQ</v>
      </c>
      <c r="G469" s="3" t="str">
        <f>IFERROR(__xludf.DUMMYFUNCTION("""COMPUTED_VALUE"""),"Offline &amp;")</f>
        <v>Offline &amp;</v>
      </c>
      <c r="H469" s="3">
        <f>IFERROR(__xludf.DUMMYFUNCTION("""COMPUTED_VALUE"""),2.022111E7)</f>
        <v>20221110</v>
      </c>
      <c r="I469" s="3" t="str">
        <f>IFERROR(__xludf.DUMMYFUNCTION("""COMPUTED_VALUE"""),"Visitjodhpur")</f>
        <v>Visitjodhpur</v>
      </c>
      <c r="J469" s="3">
        <f>IFERROR(__xludf.DUMMYFUNCTION("""COMPUTED_VALUE"""),4566.0)</f>
        <v>4566</v>
      </c>
      <c r="K469" s="3" t="str">
        <f t="shared" ref="K469:L469" si="473">TRIM(F469)</f>
        <v>CHQ</v>
      </c>
      <c r="L469" s="3" t="str">
        <f t="shared" si="473"/>
        <v>Offline &amp;</v>
      </c>
      <c r="M469" s="3" t="str">
        <f t="shared" si="3"/>
        <v>Offline &amp;</v>
      </c>
      <c r="N469" s="3" t="str">
        <f>IFERROR(__xludf.DUMMYFUNCTION("SPLIT(M469,""&amp;"")"),"Offline ")</f>
        <v>Offline </v>
      </c>
      <c r="O469" s="3" t="str">
        <f t="shared" si="4"/>
        <v>Offline</v>
      </c>
      <c r="P469" s="3" t="str">
        <f t="shared" si="5"/>
        <v>Visitjodhpur</v>
      </c>
      <c r="Q469" s="3" t="str">
        <f t="shared" si="6"/>
        <v>Visitjodhpur</v>
      </c>
      <c r="R469" s="3">
        <f t="shared" si="7"/>
        <v>4566</v>
      </c>
    </row>
    <row r="470">
      <c r="A470" s="7" t="s">
        <v>145</v>
      </c>
      <c r="B470" s="8" t="s">
        <v>19</v>
      </c>
      <c r="C470" s="8">
        <v>32500.0</v>
      </c>
      <c r="E470" s="3" t="str">
        <f>IFERROR(__xludf.DUMMYFUNCTION("SPLIT(A470,""|"")")," VfS/Google Ads/20221113/visitJaisalmer/3455 ")</f>
        <v> VfS/Google Ads/20221113/visitJaisalmer/3455 </v>
      </c>
      <c r="F470" s="3" t="str">
        <f>IFERROR(__xludf.DUMMYFUNCTION("SPLIT(E470,""/"")")," VfS")</f>
        <v> VfS</v>
      </c>
      <c r="G470" s="3" t="str">
        <f>IFERROR(__xludf.DUMMYFUNCTION("""COMPUTED_VALUE"""),"Google Ads")</f>
        <v>Google Ads</v>
      </c>
      <c r="H470" s="3">
        <f>IFERROR(__xludf.DUMMYFUNCTION("""COMPUTED_VALUE"""),2.0221113E7)</f>
        <v>20221113</v>
      </c>
      <c r="I470" s="3" t="str">
        <f>IFERROR(__xludf.DUMMYFUNCTION("""COMPUTED_VALUE"""),"visitJaisalmer")</f>
        <v>visitJaisalmer</v>
      </c>
      <c r="J470" s="3">
        <f>IFERROR(__xludf.DUMMYFUNCTION("""COMPUTED_VALUE"""),3455.0)</f>
        <v>3455</v>
      </c>
      <c r="K470" s="3" t="str">
        <f t="shared" ref="K470:L470" si="474">TRIM(F470)</f>
        <v>VfS</v>
      </c>
      <c r="L470" s="3" t="str">
        <f t="shared" si="474"/>
        <v>Google Ads</v>
      </c>
      <c r="M470" s="3" t="str">
        <f t="shared" si="3"/>
        <v>Google Ads</v>
      </c>
      <c r="N470" s="3" t="str">
        <f>IFERROR(__xludf.DUMMYFUNCTION("SPLIT(M470,""&amp;"")"),"Google Ads")</f>
        <v>Google Ads</v>
      </c>
      <c r="O470" s="3" t="str">
        <f t="shared" si="4"/>
        <v>Google Ads</v>
      </c>
      <c r="P470" s="3" t="str">
        <f t="shared" si="5"/>
        <v>visitJaisalmer</v>
      </c>
      <c r="Q470" s="3" t="str">
        <f t="shared" si="6"/>
        <v>Visitjaisalmer</v>
      </c>
      <c r="R470" s="3">
        <f t="shared" si="7"/>
        <v>3455</v>
      </c>
    </row>
    <row r="471">
      <c r="A471" s="7" t="s">
        <v>146</v>
      </c>
      <c r="B471" s="8" t="s">
        <v>19</v>
      </c>
      <c r="C471" s="8">
        <v>63200.0</v>
      </c>
      <c r="E471" s="3" t="str">
        <f>IFERROR(__xludf.DUMMYFUNCTION("SPLIT(A471,""|"")")," VIN/TwiTter/20221116/visitbikaner/5666 ")</f>
        <v> VIN/TwiTter/20221116/visitbikaner/5666 </v>
      </c>
      <c r="F471" s="3" t="str">
        <f>IFERROR(__xludf.DUMMYFUNCTION("SPLIT(E471,""/"")")," VIN")</f>
        <v> VIN</v>
      </c>
      <c r="G471" s="3" t="str">
        <f>IFERROR(__xludf.DUMMYFUNCTION("""COMPUTED_VALUE"""),"TwiTter")</f>
        <v>TwiTter</v>
      </c>
      <c r="H471" s="3">
        <f>IFERROR(__xludf.DUMMYFUNCTION("""COMPUTED_VALUE"""),2.0221116E7)</f>
        <v>20221116</v>
      </c>
      <c r="I471" s="3" t="str">
        <f>IFERROR(__xludf.DUMMYFUNCTION("""COMPUTED_VALUE"""),"visitbikaner")</f>
        <v>visitbikaner</v>
      </c>
      <c r="J471" s="3">
        <f>IFERROR(__xludf.DUMMYFUNCTION("""COMPUTED_VALUE"""),5666.0)</f>
        <v>5666</v>
      </c>
      <c r="K471" s="3" t="str">
        <f t="shared" ref="K471:L471" si="475">TRIM(F471)</f>
        <v>VIN</v>
      </c>
      <c r="L471" s="3" t="str">
        <f t="shared" si="475"/>
        <v>TwiTter</v>
      </c>
      <c r="M471" s="3" t="str">
        <f t="shared" si="3"/>
        <v>Twitter</v>
      </c>
      <c r="N471" s="3" t="str">
        <f>IFERROR(__xludf.DUMMYFUNCTION("SPLIT(M471,""&amp;"")"),"Twitter")</f>
        <v>Twitter</v>
      </c>
      <c r="O471" s="3" t="str">
        <f t="shared" si="4"/>
        <v>Twitter</v>
      </c>
      <c r="P471" s="3" t="str">
        <f t="shared" si="5"/>
        <v>visitbikaner</v>
      </c>
      <c r="Q471" s="3" t="str">
        <f t="shared" si="6"/>
        <v>Visitbikaner</v>
      </c>
      <c r="R471" s="3">
        <f t="shared" si="7"/>
        <v>5666</v>
      </c>
    </row>
    <row r="472">
      <c r="A472" s="7" t="s">
        <v>147</v>
      </c>
      <c r="B472" s="8" t="s">
        <v>19</v>
      </c>
      <c r="C472" s="8">
        <v>68300.0</v>
      </c>
      <c r="E472" s="3" t="str">
        <f>IFERROR(__xludf.DUMMYFUNCTION("SPLIT(A472,""|"")")," NEFT/Facebook/20221119/Visitjaipur/5676 ")</f>
        <v> NEFT/Facebook/20221119/Visitjaipur/5676 </v>
      </c>
      <c r="F472" s="3" t="str">
        <f>IFERROR(__xludf.DUMMYFUNCTION("SPLIT(E472,""/"")")," NEFT")</f>
        <v> NEFT</v>
      </c>
      <c r="G472" s="3" t="str">
        <f>IFERROR(__xludf.DUMMYFUNCTION("""COMPUTED_VALUE"""),"Facebook")</f>
        <v>Facebook</v>
      </c>
      <c r="H472" s="3">
        <f>IFERROR(__xludf.DUMMYFUNCTION("""COMPUTED_VALUE"""),2.0221119E7)</f>
        <v>20221119</v>
      </c>
      <c r="I472" s="3" t="str">
        <f>IFERROR(__xludf.DUMMYFUNCTION("""COMPUTED_VALUE"""),"Visitjaipur")</f>
        <v>Visitjaipur</v>
      </c>
      <c r="J472" s="3">
        <f>IFERROR(__xludf.DUMMYFUNCTION("""COMPUTED_VALUE"""),5676.0)</f>
        <v>5676</v>
      </c>
      <c r="K472" s="3" t="str">
        <f t="shared" ref="K472:L472" si="476">TRIM(F472)</f>
        <v>NEFT</v>
      </c>
      <c r="L472" s="3" t="str">
        <f t="shared" si="476"/>
        <v>Facebook</v>
      </c>
      <c r="M472" s="3" t="str">
        <f t="shared" si="3"/>
        <v>Facebook</v>
      </c>
      <c r="N472" s="3" t="str">
        <f>IFERROR(__xludf.DUMMYFUNCTION("SPLIT(M472,""&amp;"")"),"Facebook")</f>
        <v>Facebook</v>
      </c>
      <c r="O472" s="3" t="str">
        <f t="shared" si="4"/>
        <v>Facebook</v>
      </c>
      <c r="P472" s="3" t="str">
        <f t="shared" si="5"/>
        <v>Visitjaipur</v>
      </c>
      <c r="Q472" s="3" t="str">
        <f t="shared" si="6"/>
        <v>Visitjaipur</v>
      </c>
      <c r="R472" s="3">
        <f t="shared" si="7"/>
        <v>5676</v>
      </c>
    </row>
    <row r="473">
      <c r="A473" s="7" t="s">
        <v>148</v>
      </c>
      <c r="B473" s="8" t="s">
        <v>19</v>
      </c>
      <c r="C473" s="8">
        <v>72700.0</v>
      </c>
      <c r="E473" s="3" t="str">
        <f>IFERROR(__xludf.DUMMYFUNCTION("SPLIT(A473,""|"")")," CHQ/YouTube &amp;/20221122/Visitrajasthan/4564 ")</f>
        <v> CHQ/YouTube &amp;/20221122/Visitrajasthan/4564 </v>
      </c>
      <c r="F473" s="3" t="str">
        <f>IFERROR(__xludf.DUMMYFUNCTION("SPLIT(E473,""/"")")," CHQ")</f>
        <v> CHQ</v>
      </c>
      <c r="G473" s="3" t="str">
        <f>IFERROR(__xludf.DUMMYFUNCTION("""COMPUTED_VALUE"""),"YouTube &amp;")</f>
        <v>YouTube &amp;</v>
      </c>
      <c r="H473" s="3">
        <f>IFERROR(__xludf.DUMMYFUNCTION("""COMPUTED_VALUE"""),2.0221122E7)</f>
        <v>20221122</v>
      </c>
      <c r="I473" s="3" t="str">
        <f>IFERROR(__xludf.DUMMYFUNCTION("""COMPUTED_VALUE"""),"Visitrajasthan")</f>
        <v>Visitrajasthan</v>
      </c>
      <c r="J473" s="3">
        <f>IFERROR(__xludf.DUMMYFUNCTION("""COMPUTED_VALUE"""),4564.0)</f>
        <v>4564</v>
      </c>
      <c r="K473" s="3" t="str">
        <f t="shared" ref="K473:L473" si="477">TRIM(F473)</f>
        <v>CHQ</v>
      </c>
      <c r="L473" s="3" t="str">
        <f t="shared" si="477"/>
        <v>YouTube &amp;</v>
      </c>
      <c r="M473" s="3" t="str">
        <f t="shared" si="3"/>
        <v>Youtube &amp;</v>
      </c>
      <c r="N473" s="3" t="str">
        <f>IFERROR(__xludf.DUMMYFUNCTION("SPLIT(M473,""&amp;"")"),"Youtube ")</f>
        <v>Youtube </v>
      </c>
      <c r="O473" s="3" t="str">
        <f t="shared" si="4"/>
        <v>Youtube</v>
      </c>
      <c r="P473" s="3" t="str">
        <f t="shared" si="5"/>
        <v>Visitrajasthan</v>
      </c>
      <c r="Q473" s="3" t="str">
        <f t="shared" si="6"/>
        <v>Visitrajasthan</v>
      </c>
      <c r="R473" s="3">
        <f t="shared" si="7"/>
        <v>4564</v>
      </c>
    </row>
    <row r="474">
      <c r="A474" s="7" t="s">
        <v>149</v>
      </c>
      <c r="B474" s="8" t="s">
        <v>19</v>
      </c>
      <c r="C474" s="8">
        <v>11600.0</v>
      </c>
      <c r="E474" s="3" t="str">
        <f>IFERROR(__xludf.DUMMYFUNCTION("SPLIT(A474,""|"")")," VfS/Instagram/20221125/visitudaipur/4565 ")</f>
        <v> VfS/Instagram/20221125/visitudaipur/4565 </v>
      </c>
      <c r="F474" s="3" t="str">
        <f>IFERROR(__xludf.DUMMYFUNCTION("SPLIT(E474,""/"")")," VfS")</f>
        <v> VfS</v>
      </c>
      <c r="G474" s="3" t="str">
        <f>IFERROR(__xludf.DUMMYFUNCTION("""COMPUTED_VALUE"""),"Instagram")</f>
        <v>Instagram</v>
      </c>
      <c r="H474" s="3">
        <f>IFERROR(__xludf.DUMMYFUNCTION("""COMPUTED_VALUE"""),2.0221125E7)</f>
        <v>20221125</v>
      </c>
      <c r="I474" s="3" t="str">
        <f>IFERROR(__xludf.DUMMYFUNCTION("""COMPUTED_VALUE"""),"visitudaipur")</f>
        <v>visitudaipur</v>
      </c>
      <c r="J474" s="3">
        <f>IFERROR(__xludf.DUMMYFUNCTION("""COMPUTED_VALUE"""),4565.0)</f>
        <v>4565</v>
      </c>
      <c r="K474" s="3" t="str">
        <f t="shared" ref="K474:L474" si="478">TRIM(F474)</f>
        <v>VfS</v>
      </c>
      <c r="L474" s="3" t="str">
        <f t="shared" si="478"/>
        <v>Instagram</v>
      </c>
      <c r="M474" s="3" t="str">
        <f t="shared" si="3"/>
        <v>Instagram</v>
      </c>
      <c r="N474" s="3" t="str">
        <f>IFERROR(__xludf.DUMMYFUNCTION("SPLIT(M474,""&amp;"")"),"Instagram")</f>
        <v>Instagram</v>
      </c>
      <c r="O474" s="3" t="str">
        <f t="shared" si="4"/>
        <v>Instagram</v>
      </c>
      <c r="P474" s="3" t="str">
        <f t="shared" si="5"/>
        <v>visitudaipur</v>
      </c>
      <c r="Q474" s="3" t="str">
        <f t="shared" si="6"/>
        <v>Visitudaipur</v>
      </c>
      <c r="R474" s="3">
        <f t="shared" si="7"/>
        <v>4565</v>
      </c>
    </row>
    <row r="475">
      <c r="A475" s="7" t="s">
        <v>150</v>
      </c>
      <c r="B475" s="8" t="s">
        <v>19</v>
      </c>
      <c r="C475" s="8">
        <v>74400.0</v>
      </c>
      <c r="E475" s="3" t="str">
        <f>IFERROR(__xludf.DUMMYFUNCTION("SPLIT(A475,""|"")")," VIN/OfflINe &amp;/20221128/Visitjodhpur/4566 ")</f>
        <v> VIN/OfflINe &amp;/20221128/Visitjodhpur/4566 </v>
      </c>
      <c r="F475" s="3" t="str">
        <f>IFERROR(__xludf.DUMMYFUNCTION("SPLIT(E475,""/"")")," VIN")</f>
        <v> VIN</v>
      </c>
      <c r="G475" s="3" t="str">
        <f>IFERROR(__xludf.DUMMYFUNCTION("""COMPUTED_VALUE"""),"OfflINe &amp;")</f>
        <v>OfflINe &amp;</v>
      </c>
      <c r="H475" s="3">
        <f>IFERROR(__xludf.DUMMYFUNCTION("""COMPUTED_VALUE"""),2.0221128E7)</f>
        <v>20221128</v>
      </c>
      <c r="I475" s="3" t="str">
        <f>IFERROR(__xludf.DUMMYFUNCTION("""COMPUTED_VALUE"""),"Visitjodhpur")</f>
        <v>Visitjodhpur</v>
      </c>
      <c r="J475" s="3">
        <f>IFERROR(__xludf.DUMMYFUNCTION("""COMPUTED_VALUE"""),4566.0)</f>
        <v>4566</v>
      </c>
      <c r="K475" s="3" t="str">
        <f t="shared" ref="K475:L475" si="479">TRIM(F475)</f>
        <v>VIN</v>
      </c>
      <c r="L475" s="3" t="str">
        <f t="shared" si="479"/>
        <v>OfflINe &amp;</v>
      </c>
      <c r="M475" s="3" t="str">
        <f t="shared" si="3"/>
        <v>Offline &amp;</v>
      </c>
      <c r="N475" s="3" t="str">
        <f>IFERROR(__xludf.DUMMYFUNCTION("SPLIT(M475,""&amp;"")"),"Offline ")</f>
        <v>Offline </v>
      </c>
      <c r="O475" s="3" t="str">
        <f t="shared" si="4"/>
        <v>Offline</v>
      </c>
      <c r="P475" s="3" t="str">
        <f t="shared" si="5"/>
        <v>Visitjodhpur</v>
      </c>
      <c r="Q475" s="3" t="str">
        <f t="shared" si="6"/>
        <v>Visitjodhpur</v>
      </c>
      <c r="R475" s="3">
        <f t="shared" si="7"/>
        <v>4566</v>
      </c>
    </row>
    <row r="476">
      <c r="A476" s="7" t="s">
        <v>121</v>
      </c>
      <c r="B476" s="8" t="s">
        <v>20</v>
      </c>
      <c r="C476" s="8">
        <v>36800.0</v>
      </c>
      <c r="E476" s="3" t="str">
        <f>IFERROR(__xludf.DUMMYFUNCTION("SPLIT(A476,""|"")")," CHQ/Facebook/20221201/Visitjaipur/5676 ")</f>
        <v> CHQ/Facebook/20221201/Visitjaipur/5676 </v>
      </c>
      <c r="F476" s="3" t="str">
        <f>IFERROR(__xludf.DUMMYFUNCTION("SPLIT(E476,""/"")")," CHQ")</f>
        <v> CHQ</v>
      </c>
      <c r="G476" s="3" t="str">
        <f>IFERROR(__xludf.DUMMYFUNCTION("""COMPUTED_VALUE"""),"Facebook")</f>
        <v>Facebook</v>
      </c>
      <c r="H476" s="3">
        <f>IFERROR(__xludf.DUMMYFUNCTION("""COMPUTED_VALUE"""),2.0221201E7)</f>
        <v>20221201</v>
      </c>
      <c r="I476" s="3" t="str">
        <f>IFERROR(__xludf.DUMMYFUNCTION("""COMPUTED_VALUE"""),"Visitjaipur")</f>
        <v>Visitjaipur</v>
      </c>
      <c r="J476" s="3">
        <f>IFERROR(__xludf.DUMMYFUNCTION("""COMPUTED_VALUE"""),5676.0)</f>
        <v>5676</v>
      </c>
      <c r="K476" s="3" t="str">
        <f t="shared" ref="K476:L476" si="480">TRIM(F476)</f>
        <v>CHQ</v>
      </c>
      <c r="L476" s="3" t="str">
        <f t="shared" si="480"/>
        <v>Facebook</v>
      </c>
      <c r="M476" s="3" t="str">
        <f t="shared" si="3"/>
        <v>Facebook</v>
      </c>
      <c r="N476" s="3" t="str">
        <f>IFERROR(__xludf.DUMMYFUNCTION("SPLIT(M476,""&amp;"")"),"Facebook")</f>
        <v>Facebook</v>
      </c>
      <c r="O476" s="3" t="str">
        <f t="shared" si="4"/>
        <v>Facebook</v>
      </c>
      <c r="P476" s="3" t="str">
        <f t="shared" si="5"/>
        <v>Visitjaipur</v>
      </c>
      <c r="Q476" s="3" t="str">
        <f t="shared" si="6"/>
        <v>Visitjaipur</v>
      </c>
      <c r="R476" s="3">
        <f t="shared" si="7"/>
        <v>5676</v>
      </c>
    </row>
    <row r="477">
      <c r="A477" s="7" t="s">
        <v>122</v>
      </c>
      <c r="B477" s="8" t="s">
        <v>20</v>
      </c>
      <c r="C477" s="8">
        <v>57400.0</v>
      </c>
      <c r="E477" s="3" t="str">
        <f>IFERROR(__xludf.DUMMYFUNCTION("SPLIT(A477,""|"")")," VfS/YouTube/20221204/Visitrajasthan/4564 ")</f>
        <v> VfS/YouTube/20221204/Visitrajasthan/4564 </v>
      </c>
      <c r="F477" s="3" t="str">
        <f>IFERROR(__xludf.DUMMYFUNCTION("SPLIT(E477,""/"")")," VfS")</f>
        <v> VfS</v>
      </c>
      <c r="G477" s="3" t="str">
        <f>IFERROR(__xludf.DUMMYFUNCTION("""COMPUTED_VALUE"""),"YouTube")</f>
        <v>YouTube</v>
      </c>
      <c r="H477" s="3">
        <f>IFERROR(__xludf.DUMMYFUNCTION("""COMPUTED_VALUE"""),2.0221204E7)</f>
        <v>20221204</v>
      </c>
      <c r="I477" s="3" t="str">
        <f>IFERROR(__xludf.DUMMYFUNCTION("""COMPUTED_VALUE"""),"Visitrajasthan")</f>
        <v>Visitrajasthan</v>
      </c>
      <c r="J477" s="3">
        <f>IFERROR(__xludf.DUMMYFUNCTION("""COMPUTED_VALUE"""),4564.0)</f>
        <v>4564</v>
      </c>
      <c r="K477" s="3" t="str">
        <f t="shared" ref="K477:L477" si="481">TRIM(F477)</f>
        <v>VfS</v>
      </c>
      <c r="L477" s="3" t="str">
        <f t="shared" si="481"/>
        <v>YouTube</v>
      </c>
      <c r="M477" s="3" t="str">
        <f t="shared" si="3"/>
        <v>Youtube</v>
      </c>
      <c r="N477" s="3" t="str">
        <f>IFERROR(__xludf.DUMMYFUNCTION("SPLIT(M477,""&amp;"")"),"Youtube")</f>
        <v>Youtube</v>
      </c>
      <c r="O477" s="3" t="str">
        <f t="shared" si="4"/>
        <v>Youtube</v>
      </c>
      <c r="P477" s="3" t="str">
        <f t="shared" si="5"/>
        <v>Visitrajasthan</v>
      </c>
      <c r="Q477" s="3" t="str">
        <f t="shared" si="6"/>
        <v>Visitrajasthan</v>
      </c>
      <c r="R477" s="3">
        <f t="shared" si="7"/>
        <v>4564</v>
      </c>
    </row>
    <row r="478">
      <c r="A478" s="7" t="s">
        <v>123</v>
      </c>
      <c r="B478" s="8" t="s">
        <v>20</v>
      </c>
      <c r="C478" s="8">
        <v>70000.0</v>
      </c>
      <c r="E478" s="3" t="str">
        <f>IFERROR(__xludf.DUMMYFUNCTION("SPLIT(A478,""|"")")," NEFT/Instagram/20221207/visitudaipur/4565 ")</f>
        <v> NEFT/Instagram/20221207/visitudaipur/4565 </v>
      </c>
      <c r="F478" s="3" t="str">
        <f>IFERROR(__xludf.DUMMYFUNCTION("SPLIT(E478,""/"")")," NEFT")</f>
        <v> NEFT</v>
      </c>
      <c r="G478" s="3" t="str">
        <f>IFERROR(__xludf.DUMMYFUNCTION("""COMPUTED_VALUE"""),"Instagram")</f>
        <v>Instagram</v>
      </c>
      <c r="H478" s="3">
        <f>IFERROR(__xludf.DUMMYFUNCTION("""COMPUTED_VALUE"""),2.0221207E7)</f>
        <v>20221207</v>
      </c>
      <c r="I478" s="3" t="str">
        <f>IFERROR(__xludf.DUMMYFUNCTION("""COMPUTED_VALUE"""),"visitudaipur")</f>
        <v>visitudaipur</v>
      </c>
      <c r="J478" s="3">
        <f>IFERROR(__xludf.DUMMYFUNCTION("""COMPUTED_VALUE"""),4565.0)</f>
        <v>4565</v>
      </c>
      <c r="K478" s="3" t="str">
        <f t="shared" ref="K478:L478" si="482">TRIM(F478)</f>
        <v>NEFT</v>
      </c>
      <c r="L478" s="3" t="str">
        <f t="shared" si="482"/>
        <v>Instagram</v>
      </c>
      <c r="M478" s="3" t="str">
        <f t="shared" si="3"/>
        <v>Instagram</v>
      </c>
      <c r="N478" s="3" t="str">
        <f>IFERROR(__xludf.DUMMYFUNCTION("SPLIT(M478,""&amp;"")"),"Instagram")</f>
        <v>Instagram</v>
      </c>
      <c r="O478" s="3" t="str">
        <f t="shared" si="4"/>
        <v>Instagram</v>
      </c>
      <c r="P478" s="3" t="str">
        <f t="shared" si="5"/>
        <v>visitudaipur</v>
      </c>
      <c r="Q478" s="3" t="str">
        <f t="shared" si="6"/>
        <v>Visitudaipur</v>
      </c>
      <c r="R478" s="3">
        <f t="shared" si="7"/>
        <v>4565</v>
      </c>
    </row>
    <row r="479">
      <c r="A479" s="7" t="s">
        <v>124</v>
      </c>
      <c r="B479" s="8" t="s">
        <v>20</v>
      </c>
      <c r="C479" s="8">
        <v>88100.0</v>
      </c>
      <c r="E479" s="3" t="str">
        <f>IFERROR(__xludf.DUMMYFUNCTION("SPLIT(A479,""|"")")," CHQ/Offline &amp;/20221210/Visitjodhpur/4566 ")</f>
        <v> CHQ/Offline &amp;/20221210/Visitjodhpur/4566 </v>
      </c>
      <c r="F479" s="3" t="str">
        <f>IFERROR(__xludf.DUMMYFUNCTION("SPLIT(E479,""/"")")," CHQ")</f>
        <v> CHQ</v>
      </c>
      <c r="G479" s="3" t="str">
        <f>IFERROR(__xludf.DUMMYFUNCTION("""COMPUTED_VALUE"""),"Offline &amp;")</f>
        <v>Offline &amp;</v>
      </c>
      <c r="H479" s="3">
        <f>IFERROR(__xludf.DUMMYFUNCTION("""COMPUTED_VALUE"""),2.022121E7)</f>
        <v>20221210</v>
      </c>
      <c r="I479" s="3" t="str">
        <f>IFERROR(__xludf.DUMMYFUNCTION("""COMPUTED_VALUE"""),"Visitjodhpur")</f>
        <v>Visitjodhpur</v>
      </c>
      <c r="J479" s="3">
        <f>IFERROR(__xludf.DUMMYFUNCTION("""COMPUTED_VALUE"""),4566.0)</f>
        <v>4566</v>
      </c>
      <c r="K479" s="3" t="str">
        <f t="shared" ref="K479:L479" si="483">TRIM(F479)</f>
        <v>CHQ</v>
      </c>
      <c r="L479" s="3" t="str">
        <f t="shared" si="483"/>
        <v>Offline &amp;</v>
      </c>
      <c r="M479" s="3" t="str">
        <f t="shared" si="3"/>
        <v>Offline &amp;</v>
      </c>
      <c r="N479" s="3" t="str">
        <f>IFERROR(__xludf.DUMMYFUNCTION("SPLIT(M479,""&amp;"")"),"Offline ")</f>
        <v>Offline </v>
      </c>
      <c r="O479" s="3" t="str">
        <f t="shared" si="4"/>
        <v>Offline</v>
      </c>
      <c r="P479" s="3" t="str">
        <f t="shared" si="5"/>
        <v>Visitjodhpur</v>
      </c>
      <c r="Q479" s="3" t="str">
        <f t="shared" si="6"/>
        <v>Visitjodhpur</v>
      </c>
      <c r="R479" s="3">
        <f t="shared" si="7"/>
        <v>4566</v>
      </c>
    </row>
    <row r="480">
      <c r="A480" s="7" t="s">
        <v>125</v>
      </c>
      <c r="B480" s="8" t="s">
        <v>20</v>
      </c>
      <c r="C480" s="8">
        <v>79900.0</v>
      </c>
      <c r="E480" s="3" t="str">
        <f>IFERROR(__xludf.DUMMYFUNCTION("SPLIT(A480,""|"")")," VfS/Google Ads/20221213/visitJaisalmer/3455 ")</f>
        <v> VfS/Google Ads/20221213/visitJaisalmer/3455 </v>
      </c>
      <c r="F480" s="3" t="str">
        <f>IFERROR(__xludf.DUMMYFUNCTION("SPLIT(E480,""/"")")," VfS")</f>
        <v> VfS</v>
      </c>
      <c r="G480" s="3" t="str">
        <f>IFERROR(__xludf.DUMMYFUNCTION("""COMPUTED_VALUE"""),"Google Ads")</f>
        <v>Google Ads</v>
      </c>
      <c r="H480" s="3">
        <f>IFERROR(__xludf.DUMMYFUNCTION("""COMPUTED_VALUE"""),2.0221213E7)</f>
        <v>20221213</v>
      </c>
      <c r="I480" s="3" t="str">
        <f>IFERROR(__xludf.DUMMYFUNCTION("""COMPUTED_VALUE"""),"visitJaisalmer")</f>
        <v>visitJaisalmer</v>
      </c>
      <c r="J480" s="3">
        <f>IFERROR(__xludf.DUMMYFUNCTION("""COMPUTED_VALUE"""),3455.0)</f>
        <v>3455</v>
      </c>
      <c r="K480" s="3" t="str">
        <f t="shared" ref="K480:L480" si="484">TRIM(F480)</f>
        <v>VfS</v>
      </c>
      <c r="L480" s="3" t="str">
        <f t="shared" si="484"/>
        <v>Google Ads</v>
      </c>
      <c r="M480" s="3" t="str">
        <f t="shared" si="3"/>
        <v>Google Ads</v>
      </c>
      <c r="N480" s="3" t="str">
        <f>IFERROR(__xludf.DUMMYFUNCTION("SPLIT(M480,""&amp;"")"),"Google Ads")</f>
        <v>Google Ads</v>
      </c>
      <c r="O480" s="3" t="str">
        <f t="shared" si="4"/>
        <v>Google Ads</v>
      </c>
      <c r="P480" s="3" t="str">
        <f t="shared" si="5"/>
        <v>visitJaisalmer</v>
      </c>
      <c r="Q480" s="3" t="str">
        <f t="shared" si="6"/>
        <v>Visitjaisalmer</v>
      </c>
      <c r="R480" s="3">
        <f t="shared" si="7"/>
        <v>3455</v>
      </c>
    </row>
    <row r="481">
      <c r="A481" s="7" t="s">
        <v>126</v>
      </c>
      <c r="B481" s="8" t="s">
        <v>20</v>
      </c>
      <c r="C481" s="8">
        <v>39700.0</v>
      </c>
      <c r="E481" s="3" t="str">
        <f>IFERROR(__xludf.DUMMYFUNCTION("SPLIT(A481,""|"")")," VIN/TwiTter/20221216/visitbikaner/5666 ")</f>
        <v> VIN/TwiTter/20221216/visitbikaner/5666 </v>
      </c>
      <c r="F481" s="3" t="str">
        <f>IFERROR(__xludf.DUMMYFUNCTION("SPLIT(E481,""/"")")," VIN")</f>
        <v> VIN</v>
      </c>
      <c r="G481" s="3" t="str">
        <f>IFERROR(__xludf.DUMMYFUNCTION("""COMPUTED_VALUE"""),"TwiTter")</f>
        <v>TwiTter</v>
      </c>
      <c r="H481" s="3">
        <f>IFERROR(__xludf.DUMMYFUNCTION("""COMPUTED_VALUE"""),2.0221216E7)</f>
        <v>20221216</v>
      </c>
      <c r="I481" s="3" t="str">
        <f>IFERROR(__xludf.DUMMYFUNCTION("""COMPUTED_VALUE"""),"visitbikaner")</f>
        <v>visitbikaner</v>
      </c>
      <c r="J481" s="3">
        <f>IFERROR(__xludf.DUMMYFUNCTION("""COMPUTED_VALUE"""),5666.0)</f>
        <v>5666</v>
      </c>
      <c r="K481" s="3" t="str">
        <f t="shared" ref="K481:L481" si="485">TRIM(F481)</f>
        <v>VIN</v>
      </c>
      <c r="L481" s="3" t="str">
        <f t="shared" si="485"/>
        <v>TwiTter</v>
      </c>
      <c r="M481" s="3" t="str">
        <f t="shared" si="3"/>
        <v>Twitter</v>
      </c>
      <c r="N481" s="3" t="str">
        <f>IFERROR(__xludf.DUMMYFUNCTION("SPLIT(M481,""&amp;"")"),"Twitter")</f>
        <v>Twitter</v>
      </c>
      <c r="O481" s="3" t="str">
        <f t="shared" si="4"/>
        <v>Twitter</v>
      </c>
      <c r="P481" s="3" t="str">
        <f t="shared" si="5"/>
        <v>visitbikaner</v>
      </c>
      <c r="Q481" s="3" t="str">
        <f t="shared" si="6"/>
        <v>Visitbikaner</v>
      </c>
      <c r="R481" s="3">
        <f t="shared" si="7"/>
        <v>5666</v>
      </c>
    </row>
    <row r="482">
      <c r="A482" s="7" t="s">
        <v>127</v>
      </c>
      <c r="B482" s="8" t="s">
        <v>20</v>
      </c>
      <c r="C482" s="8">
        <v>10800.0</v>
      </c>
      <c r="E482" s="3" t="str">
        <f>IFERROR(__xludf.DUMMYFUNCTION("SPLIT(A482,""|"")")," NEFT/Facebook/20221219/Visitjaipur/5676 ")</f>
        <v> NEFT/Facebook/20221219/Visitjaipur/5676 </v>
      </c>
      <c r="F482" s="3" t="str">
        <f>IFERROR(__xludf.DUMMYFUNCTION("SPLIT(E482,""/"")")," NEFT")</f>
        <v> NEFT</v>
      </c>
      <c r="G482" s="3" t="str">
        <f>IFERROR(__xludf.DUMMYFUNCTION("""COMPUTED_VALUE"""),"Facebook")</f>
        <v>Facebook</v>
      </c>
      <c r="H482" s="3">
        <f>IFERROR(__xludf.DUMMYFUNCTION("""COMPUTED_VALUE"""),2.0221219E7)</f>
        <v>20221219</v>
      </c>
      <c r="I482" s="3" t="str">
        <f>IFERROR(__xludf.DUMMYFUNCTION("""COMPUTED_VALUE"""),"Visitjaipur")</f>
        <v>Visitjaipur</v>
      </c>
      <c r="J482" s="3">
        <f>IFERROR(__xludf.DUMMYFUNCTION("""COMPUTED_VALUE"""),5676.0)</f>
        <v>5676</v>
      </c>
      <c r="K482" s="3" t="str">
        <f t="shared" ref="K482:L482" si="486">TRIM(F482)</f>
        <v>NEFT</v>
      </c>
      <c r="L482" s="3" t="str">
        <f t="shared" si="486"/>
        <v>Facebook</v>
      </c>
      <c r="M482" s="3" t="str">
        <f t="shared" si="3"/>
        <v>Facebook</v>
      </c>
      <c r="N482" s="3" t="str">
        <f>IFERROR(__xludf.DUMMYFUNCTION("SPLIT(M482,""&amp;"")"),"Facebook")</f>
        <v>Facebook</v>
      </c>
      <c r="O482" s="3" t="str">
        <f t="shared" si="4"/>
        <v>Facebook</v>
      </c>
      <c r="P482" s="3" t="str">
        <f t="shared" si="5"/>
        <v>Visitjaipur</v>
      </c>
      <c r="Q482" s="3" t="str">
        <f t="shared" si="6"/>
        <v>Visitjaipur</v>
      </c>
      <c r="R482" s="3">
        <f t="shared" si="7"/>
        <v>5676</v>
      </c>
    </row>
    <row r="483">
      <c r="A483" s="7" t="s">
        <v>128</v>
      </c>
      <c r="B483" s="8" t="s">
        <v>20</v>
      </c>
      <c r="C483" s="8">
        <v>48000.0</v>
      </c>
      <c r="E483" s="3" t="str">
        <f>IFERROR(__xludf.DUMMYFUNCTION("SPLIT(A483,""|"")")," CHQ/YouTube &amp;/20221222/Visitrajasthan/4564 ")</f>
        <v> CHQ/YouTube &amp;/20221222/Visitrajasthan/4564 </v>
      </c>
      <c r="F483" s="3" t="str">
        <f>IFERROR(__xludf.DUMMYFUNCTION("SPLIT(E483,""/"")")," CHQ")</f>
        <v> CHQ</v>
      </c>
      <c r="G483" s="3" t="str">
        <f>IFERROR(__xludf.DUMMYFUNCTION("""COMPUTED_VALUE"""),"YouTube &amp;")</f>
        <v>YouTube &amp;</v>
      </c>
      <c r="H483" s="3">
        <f>IFERROR(__xludf.DUMMYFUNCTION("""COMPUTED_VALUE"""),2.0221222E7)</f>
        <v>20221222</v>
      </c>
      <c r="I483" s="3" t="str">
        <f>IFERROR(__xludf.DUMMYFUNCTION("""COMPUTED_VALUE"""),"Visitrajasthan")</f>
        <v>Visitrajasthan</v>
      </c>
      <c r="J483" s="3">
        <f>IFERROR(__xludf.DUMMYFUNCTION("""COMPUTED_VALUE"""),4564.0)</f>
        <v>4564</v>
      </c>
      <c r="K483" s="3" t="str">
        <f t="shared" ref="K483:L483" si="487">TRIM(F483)</f>
        <v>CHQ</v>
      </c>
      <c r="L483" s="3" t="str">
        <f t="shared" si="487"/>
        <v>YouTube &amp;</v>
      </c>
      <c r="M483" s="3" t="str">
        <f t="shared" si="3"/>
        <v>Youtube &amp;</v>
      </c>
      <c r="N483" s="3" t="str">
        <f>IFERROR(__xludf.DUMMYFUNCTION("SPLIT(M483,""&amp;"")"),"Youtube ")</f>
        <v>Youtube </v>
      </c>
      <c r="O483" s="3" t="str">
        <f t="shared" si="4"/>
        <v>Youtube</v>
      </c>
      <c r="P483" s="3" t="str">
        <f t="shared" si="5"/>
        <v>Visitrajasthan</v>
      </c>
      <c r="Q483" s="3" t="str">
        <f t="shared" si="6"/>
        <v>Visitrajasthan</v>
      </c>
      <c r="R483" s="3">
        <f t="shared" si="7"/>
        <v>4564</v>
      </c>
    </row>
    <row r="484">
      <c r="A484" s="7" t="s">
        <v>129</v>
      </c>
      <c r="B484" s="8" t="s">
        <v>20</v>
      </c>
      <c r="C484" s="8">
        <v>92900.0</v>
      </c>
      <c r="E484" s="3" t="str">
        <f>IFERROR(__xludf.DUMMYFUNCTION("SPLIT(A484,""|"")")," VfS/Instagram/20221225/visitudaipur/4565 ")</f>
        <v> VfS/Instagram/20221225/visitudaipur/4565 </v>
      </c>
      <c r="F484" s="3" t="str">
        <f>IFERROR(__xludf.DUMMYFUNCTION("SPLIT(E484,""/"")")," VfS")</f>
        <v> VfS</v>
      </c>
      <c r="G484" s="3" t="str">
        <f>IFERROR(__xludf.DUMMYFUNCTION("""COMPUTED_VALUE"""),"Instagram")</f>
        <v>Instagram</v>
      </c>
      <c r="H484" s="3">
        <f>IFERROR(__xludf.DUMMYFUNCTION("""COMPUTED_VALUE"""),2.0221225E7)</f>
        <v>20221225</v>
      </c>
      <c r="I484" s="3" t="str">
        <f>IFERROR(__xludf.DUMMYFUNCTION("""COMPUTED_VALUE"""),"visitudaipur")</f>
        <v>visitudaipur</v>
      </c>
      <c r="J484" s="3">
        <f>IFERROR(__xludf.DUMMYFUNCTION("""COMPUTED_VALUE"""),4565.0)</f>
        <v>4565</v>
      </c>
      <c r="K484" s="3" t="str">
        <f t="shared" ref="K484:L484" si="488">TRIM(F484)</f>
        <v>VfS</v>
      </c>
      <c r="L484" s="3" t="str">
        <f t="shared" si="488"/>
        <v>Instagram</v>
      </c>
      <c r="M484" s="3" t="str">
        <f t="shared" si="3"/>
        <v>Instagram</v>
      </c>
      <c r="N484" s="3" t="str">
        <f>IFERROR(__xludf.DUMMYFUNCTION("SPLIT(M484,""&amp;"")"),"Instagram")</f>
        <v>Instagram</v>
      </c>
      <c r="O484" s="3" t="str">
        <f t="shared" si="4"/>
        <v>Instagram</v>
      </c>
      <c r="P484" s="3" t="str">
        <f t="shared" si="5"/>
        <v>visitudaipur</v>
      </c>
      <c r="Q484" s="3" t="str">
        <f t="shared" si="6"/>
        <v>Visitudaipur</v>
      </c>
      <c r="R484" s="3">
        <f t="shared" si="7"/>
        <v>4565</v>
      </c>
    </row>
    <row r="485">
      <c r="A485" s="7" t="s">
        <v>130</v>
      </c>
      <c r="B485" s="8" t="s">
        <v>20</v>
      </c>
      <c r="C485" s="8">
        <v>40100.0</v>
      </c>
      <c r="E485" s="3" t="str">
        <f>IFERROR(__xludf.DUMMYFUNCTION("SPLIT(A485,""|"")")," VIN/OfflINe &amp;/20221228/Visitjodhpur/4566 ")</f>
        <v> VIN/OfflINe &amp;/20221228/Visitjodhpur/4566 </v>
      </c>
      <c r="F485" s="3" t="str">
        <f>IFERROR(__xludf.DUMMYFUNCTION("SPLIT(E485,""/"")")," VIN")</f>
        <v> VIN</v>
      </c>
      <c r="G485" s="3" t="str">
        <f>IFERROR(__xludf.DUMMYFUNCTION("""COMPUTED_VALUE"""),"OfflINe &amp;")</f>
        <v>OfflINe &amp;</v>
      </c>
      <c r="H485" s="3">
        <f>IFERROR(__xludf.DUMMYFUNCTION("""COMPUTED_VALUE"""),2.0221228E7)</f>
        <v>20221228</v>
      </c>
      <c r="I485" s="3" t="str">
        <f>IFERROR(__xludf.DUMMYFUNCTION("""COMPUTED_VALUE"""),"Visitjodhpur")</f>
        <v>Visitjodhpur</v>
      </c>
      <c r="J485" s="3">
        <f>IFERROR(__xludf.DUMMYFUNCTION("""COMPUTED_VALUE"""),4566.0)</f>
        <v>4566</v>
      </c>
      <c r="K485" s="3" t="str">
        <f t="shared" ref="K485:L485" si="489">TRIM(F485)</f>
        <v>VIN</v>
      </c>
      <c r="L485" s="3" t="str">
        <f t="shared" si="489"/>
        <v>OfflINe &amp;</v>
      </c>
      <c r="M485" s="3" t="str">
        <f t="shared" si="3"/>
        <v>Offline &amp;</v>
      </c>
      <c r="N485" s="3" t="str">
        <f>IFERROR(__xludf.DUMMYFUNCTION("SPLIT(M485,""&amp;"")"),"Offline ")</f>
        <v>Offline </v>
      </c>
      <c r="O485" s="3" t="str">
        <f t="shared" si="4"/>
        <v>Offline</v>
      </c>
      <c r="P485" s="3" t="str">
        <f t="shared" si="5"/>
        <v>Visitjodhpur</v>
      </c>
      <c r="Q485" s="3" t="str">
        <f t="shared" si="6"/>
        <v>Visitjodhpur</v>
      </c>
      <c r="R485" s="3">
        <f t="shared" si="7"/>
        <v>4566</v>
      </c>
    </row>
    <row r="486">
      <c r="A486" s="7" t="s">
        <v>131</v>
      </c>
      <c r="B486" s="8" t="s">
        <v>6</v>
      </c>
      <c r="C486" s="8">
        <v>20900.0</v>
      </c>
      <c r="E486" s="3" t="str">
        <f>IFERROR(__xludf.DUMMYFUNCTION("SPLIT(A486,""|"")")," CHQ/Facebook/20221001/Visitjaipur/5676 ")</f>
        <v> CHQ/Facebook/20221001/Visitjaipur/5676 </v>
      </c>
      <c r="F486" s="3" t="str">
        <f>IFERROR(__xludf.DUMMYFUNCTION("SPLIT(E486,""/"")")," CHQ")</f>
        <v> CHQ</v>
      </c>
      <c r="G486" s="3" t="str">
        <f>IFERROR(__xludf.DUMMYFUNCTION("""COMPUTED_VALUE"""),"Facebook")</f>
        <v>Facebook</v>
      </c>
      <c r="H486" s="3">
        <f>IFERROR(__xludf.DUMMYFUNCTION("""COMPUTED_VALUE"""),2.0221001E7)</f>
        <v>20221001</v>
      </c>
      <c r="I486" s="3" t="str">
        <f>IFERROR(__xludf.DUMMYFUNCTION("""COMPUTED_VALUE"""),"Visitjaipur")</f>
        <v>Visitjaipur</v>
      </c>
      <c r="J486" s="3">
        <f>IFERROR(__xludf.DUMMYFUNCTION("""COMPUTED_VALUE"""),5676.0)</f>
        <v>5676</v>
      </c>
      <c r="K486" s="3" t="str">
        <f t="shared" ref="K486:L486" si="490">TRIM(F486)</f>
        <v>CHQ</v>
      </c>
      <c r="L486" s="3" t="str">
        <f t="shared" si="490"/>
        <v>Facebook</v>
      </c>
      <c r="M486" s="3" t="str">
        <f t="shared" si="3"/>
        <v>Facebook</v>
      </c>
      <c r="N486" s="3" t="str">
        <f>IFERROR(__xludf.DUMMYFUNCTION("SPLIT(M486,""&amp;"")"),"Facebook")</f>
        <v>Facebook</v>
      </c>
      <c r="O486" s="3" t="str">
        <f t="shared" si="4"/>
        <v>Facebook</v>
      </c>
      <c r="P486" s="3" t="str">
        <f t="shared" si="5"/>
        <v>Visitjaipur</v>
      </c>
      <c r="Q486" s="3" t="str">
        <f t="shared" si="6"/>
        <v>Visitjaipur</v>
      </c>
      <c r="R486" s="3">
        <f t="shared" si="7"/>
        <v>5676</v>
      </c>
    </row>
    <row r="487">
      <c r="A487" s="7" t="s">
        <v>132</v>
      </c>
      <c r="B487" s="8" t="s">
        <v>6</v>
      </c>
      <c r="C487" s="8">
        <v>70300.0</v>
      </c>
      <c r="E487" s="3" t="str">
        <f>IFERROR(__xludf.DUMMYFUNCTION("SPLIT(A487,""|"")")," VfS/YouTube/20221004/Visitrajasthan/4564 ")</f>
        <v> VfS/YouTube/20221004/Visitrajasthan/4564 </v>
      </c>
      <c r="F487" s="3" t="str">
        <f>IFERROR(__xludf.DUMMYFUNCTION("SPLIT(E487,""/"")")," VfS")</f>
        <v> VfS</v>
      </c>
      <c r="G487" s="3" t="str">
        <f>IFERROR(__xludf.DUMMYFUNCTION("""COMPUTED_VALUE"""),"YouTube")</f>
        <v>YouTube</v>
      </c>
      <c r="H487" s="3">
        <f>IFERROR(__xludf.DUMMYFUNCTION("""COMPUTED_VALUE"""),2.0221004E7)</f>
        <v>20221004</v>
      </c>
      <c r="I487" s="3" t="str">
        <f>IFERROR(__xludf.DUMMYFUNCTION("""COMPUTED_VALUE"""),"Visitrajasthan")</f>
        <v>Visitrajasthan</v>
      </c>
      <c r="J487" s="3">
        <f>IFERROR(__xludf.DUMMYFUNCTION("""COMPUTED_VALUE"""),4564.0)</f>
        <v>4564</v>
      </c>
      <c r="K487" s="3" t="str">
        <f t="shared" ref="K487:L487" si="491">TRIM(F487)</f>
        <v>VfS</v>
      </c>
      <c r="L487" s="3" t="str">
        <f t="shared" si="491"/>
        <v>YouTube</v>
      </c>
      <c r="M487" s="3" t="str">
        <f t="shared" si="3"/>
        <v>Youtube</v>
      </c>
      <c r="N487" s="3" t="str">
        <f>IFERROR(__xludf.DUMMYFUNCTION("SPLIT(M487,""&amp;"")"),"Youtube")</f>
        <v>Youtube</v>
      </c>
      <c r="O487" s="3" t="str">
        <f t="shared" si="4"/>
        <v>Youtube</v>
      </c>
      <c r="P487" s="3" t="str">
        <f t="shared" si="5"/>
        <v>Visitrajasthan</v>
      </c>
      <c r="Q487" s="3" t="str">
        <f t="shared" si="6"/>
        <v>Visitrajasthan</v>
      </c>
      <c r="R487" s="3">
        <f t="shared" si="7"/>
        <v>4564</v>
      </c>
    </row>
    <row r="488">
      <c r="A488" s="7" t="s">
        <v>133</v>
      </c>
      <c r="B488" s="8" t="s">
        <v>6</v>
      </c>
      <c r="C488" s="8">
        <v>84800.0</v>
      </c>
      <c r="E488" s="3" t="str">
        <f>IFERROR(__xludf.DUMMYFUNCTION("SPLIT(A488,""|"")")," NEFT/Instagram/20221007/visitudaipur/4565 ")</f>
        <v> NEFT/Instagram/20221007/visitudaipur/4565 </v>
      </c>
      <c r="F488" s="3" t="str">
        <f>IFERROR(__xludf.DUMMYFUNCTION("SPLIT(E488,""/"")")," NEFT")</f>
        <v> NEFT</v>
      </c>
      <c r="G488" s="3" t="str">
        <f>IFERROR(__xludf.DUMMYFUNCTION("""COMPUTED_VALUE"""),"Instagram")</f>
        <v>Instagram</v>
      </c>
      <c r="H488" s="3">
        <f>IFERROR(__xludf.DUMMYFUNCTION("""COMPUTED_VALUE"""),2.0221007E7)</f>
        <v>20221007</v>
      </c>
      <c r="I488" s="3" t="str">
        <f>IFERROR(__xludf.DUMMYFUNCTION("""COMPUTED_VALUE"""),"visitudaipur")</f>
        <v>visitudaipur</v>
      </c>
      <c r="J488" s="3">
        <f>IFERROR(__xludf.DUMMYFUNCTION("""COMPUTED_VALUE"""),4565.0)</f>
        <v>4565</v>
      </c>
      <c r="K488" s="3" t="str">
        <f t="shared" ref="K488:L488" si="492">TRIM(F488)</f>
        <v>NEFT</v>
      </c>
      <c r="L488" s="3" t="str">
        <f t="shared" si="492"/>
        <v>Instagram</v>
      </c>
      <c r="M488" s="3" t="str">
        <f t="shared" si="3"/>
        <v>Instagram</v>
      </c>
      <c r="N488" s="3" t="str">
        <f>IFERROR(__xludf.DUMMYFUNCTION("SPLIT(M488,""&amp;"")"),"Instagram")</f>
        <v>Instagram</v>
      </c>
      <c r="O488" s="3" t="str">
        <f t="shared" si="4"/>
        <v>Instagram</v>
      </c>
      <c r="P488" s="3" t="str">
        <f t="shared" si="5"/>
        <v>visitudaipur</v>
      </c>
      <c r="Q488" s="3" t="str">
        <f t="shared" si="6"/>
        <v>Visitudaipur</v>
      </c>
      <c r="R488" s="3">
        <f t="shared" si="7"/>
        <v>4565</v>
      </c>
    </row>
    <row r="489">
      <c r="A489" s="7" t="s">
        <v>134</v>
      </c>
      <c r="B489" s="8" t="s">
        <v>6</v>
      </c>
      <c r="C489" s="8">
        <v>36300.0</v>
      </c>
      <c r="E489" s="3" t="str">
        <f>IFERROR(__xludf.DUMMYFUNCTION("SPLIT(A489,""|"")")," CHQ/Offline &amp;/20221010/Visitjodhpur/4566 ")</f>
        <v> CHQ/Offline &amp;/20221010/Visitjodhpur/4566 </v>
      </c>
      <c r="F489" s="3" t="str">
        <f>IFERROR(__xludf.DUMMYFUNCTION("SPLIT(E489,""/"")")," CHQ")</f>
        <v> CHQ</v>
      </c>
      <c r="G489" s="3" t="str">
        <f>IFERROR(__xludf.DUMMYFUNCTION("""COMPUTED_VALUE"""),"Offline &amp;")</f>
        <v>Offline &amp;</v>
      </c>
      <c r="H489" s="3">
        <f>IFERROR(__xludf.DUMMYFUNCTION("""COMPUTED_VALUE"""),2.022101E7)</f>
        <v>20221010</v>
      </c>
      <c r="I489" s="3" t="str">
        <f>IFERROR(__xludf.DUMMYFUNCTION("""COMPUTED_VALUE"""),"Visitjodhpur")</f>
        <v>Visitjodhpur</v>
      </c>
      <c r="J489" s="3">
        <f>IFERROR(__xludf.DUMMYFUNCTION("""COMPUTED_VALUE"""),4566.0)</f>
        <v>4566</v>
      </c>
      <c r="K489" s="3" t="str">
        <f t="shared" ref="K489:L489" si="493">TRIM(F489)</f>
        <v>CHQ</v>
      </c>
      <c r="L489" s="3" t="str">
        <f t="shared" si="493"/>
        <v>Offline &amp;</v>
      </c>
      <c r="M489" s="3" t="str">
        <f t="shared" si="3"/>
        <v>Offline &amp;</v>
      </c>
      <c r="N489" s="3" t="str">
        <f>IFERROR(__xludf.DUMMYFUNCTION("SPLIT(M489,""&amp;"")"),"Offline ")</f>
        <v>Offline </v>
      </c>
      <c r="O489" s="3" t="str">
        <f t="shared" si="4"/>
        <v>Offline</v>
      </c>
      <c r="P489" s="3" t="str">
        <f t="shared" si="5"/>
        <v>Visitjodhpur</v>
      </c>
      <c r="Q489" s="3" t="str">
        <f t="shared" si="6"/>
        <v>Visitjodhpur</v>
      </c>
      <c r="R489" s="3">
        <f t="shared" si="7"/>
        <v>4566</v>
      </c>
    </row>
    <row r="490">
      <c r="A490" s="7" t="s">
        <v>151</v>
      </c>
      <c r="B490" s="8" t="s">
        <v>6</v>
      </c>
      <c r="C490" s="8">
        <v>87800.0</v>
      </c>
      <c r="E490" s="3" t="str">
        <f>IFERROR(__xludf.DUMMYFUNCTION("SPLIT(A490,""|"")")," VfS/Google Ads/20221013/visitJaisalmer/3455 ")</f>
        <v> VfS/Google Ads/20221013/visitJaisalmer/3455 </v>
      </c>
      <c r="F490" s="3" t="str">
        <f>IFERROR(__xludf.DUMMYFUNCTION("SPLIT(E490,""/"")")," VfS")</f>
        <v> VfS</v>
      </c>
      <c r="G490" s="3" t="str">
        <f>IFERROR(__xludf.DUMMYFUNCTION("""COMPUTED_VALUE"""),"Google Ads")</f>
        <v>Google Ads</v>
      </c>
      <c r="H490" s="3">
        <f>IFERROR(__xludf.DUMMYFUNCTION("""COMPUTED_VALUE"""),2.0221013E7)</f>
        <v>20221013</v>
      </c>
      <c r="I490" s="3" t="str">
        <f>IFERROR(__xludf.DUMMYFUNCTION("""COMPUTED_VALUE"""),"visitJaisalmer")</f>
        <v>visitJaisalmer</v>
      </c>
      <c r="J490" s="3">
        <f>IFERROR(__xludf.DUMMYFUNCTION("""COMPUTED_VALUE"""),3455.0)</f>
        <v>3455</v>
      </c>
      <c r="K490" s="3" t="str">
        <f t="shared" ref="K490:L490" si="494">TRIM(F490)</f>
        <v>VfS</v>
      </c>
      <c r="L490" s="3" t="str">
        <f t="shared" si="494"/>
        <v>Google Ads</v>
      </c>
      <c r="M490" s="3" t="str">
        <f t="shared" si="3"/>
        <v>Google Ads</v>
      </c>
      <c r="N490" s="3" t="str">
        <f>IFERROR(__xludf.DUMMYFUNCTION("SPLIT(M490,""&amp;"")"),"Google Ads")</f>
        <v>Google Ads</v>
      </c>
      <c r="O490" s="3" t="str">
        <f t="shared" si="4"/>
        <v>Google Ads</v>
      </c>
      <c r="P490" s="3" t="str">
        <f t="shared" si="5"/>
        <v>visitJaisalmer</v>
      </c>
      <c r="Q490" s="3" t="str">
        <f t="shared" si="6"/>
        <v>Visitjaisalmer</v>
      </c>
      <c r="R490" s="3">
        <f t="shared" si="7"/>
        <v>3455</v>
      </c>
    </row>
    <row r="491">
      <c r="A491" s="7" t="s">
        <v>136</v>
      </c>
      <c r="B491" s="8" t="s">
        <v>6</v>
      </c>
      <c r="C491" s="8">
        <v>66000.0</v>
      </c>
      <c r="E491" s="3" t="str">
        <f>IFERROR(__xludf.DUMMYFUNCTION("SPLIT(A491,""|"")")," VIN/TwiTter/20221016/visitbikaner/5666 ")</f>
        <v> VIN/TwiTter/20221016/visitbikaner/5666 </v>
      </c>
      <c r="F491" s="3" t="str">
        <f>IFERROR(__xludf.DUMMYFUNCTION("SPLIT(E491,""/"")")," VIN")</f>
        <v> VIN</v>
      </c>
      <c r="G491" s="3" t="str">
        <f>IFERROR(__xludf.DUMMYFUNCTION("""COMPUTED_VALUE"""),"TwiTter")</f>
        <v>TwiTter</v>
      </c>
      <c r="H491" s="3">
        <f>IFERROR(__xludf.DUMMYFUNCTION("""COMPUTED_VALUE"""),2.0221016E7)</f>
        <v>20221016</v>
      </c>
      <c r="I491" s="3" t="str">
        <f>IFERROR(__xludf.DUMMYFUNCTION("""COMPUTED_VALUE"""),"visitbikaner")</f>
        <v>visitbikaner</v>
      </c>
      <c r="J491" s="3">
        <f>IFERROR(__xludf.DUMMYFUNCTION("""COMPUTED_VALUE"""),5666.0)</f>
        <v>5666</v>
      </c>
      <c r="K491" s="3" t="str">
        <f t="shared" ref="K491:L491" si="495">TRIM(F491)</f>
        <v>VIN</v>
      </c>
      <c r="L491" s="3" t="str">
        <f t="shared" si="495"/>
        <v>TwiTter</v>
      </c>
      <c r="M491" s="3" t="str">
        <f t="shared" si="3"/>
        <v>Twitter</v>
      </c>
      <c r="N491" s="3" t="str">
        <f>IFERROR(__xludf.DUMMYFUNCTION("SPLIT(M491,""&amp;"")"),"Twitter")</f>
        <v>Twitter</v>
      </c>
      <c r="O491" s="3" t="str">
        <f t="shared" si="4"/>
        <v>Twitter</v>
      </c>
      <c r="P491" s="3" t="str">
        <f t="shared" si="5"/>
        <v>visitbikaner</v>
      </c>
      <c r="Q491" s="3" t="str">
        <f t="shared" si="6"/>
        <v>Visitbikaner</v>
      </c>
      <c r="R491" s="3">
        <f t="shared" si="7"/>
        <v>5666</v>
      </c>
    </row>
    <row r="492">
      <c r="A492" s="7" t="s">
        <v>137</v>
      </c>
      <c r="B492" s="8" t="s">
        <v>6</v>
      </c>
      <c r="C492" s="8">
        <v>92000.0</v>
      </c>
      <c r="E492" s="3" t="str">
        <f>IFERROR(__xludf.DUMMYFUNCTION("SPLIT(A492,""|"")")," NEFT/Facebook/20221019/Visitjaipur/5676 ")</f>
        <v> NEFT/Facebook/20221019/Visitjaipur/5676 </v>
      </c>
      <c r="F492" s="3" t="str">
        <f>IFERROR(__xludf.DUMMYFUNCTION("SPLIT(E492,""/"")")," NEFT")</f>
        <v> NEFT</v>
      </c>
      <c r="G492" s="3" t="str">
        <f>IFERROR(__xludf.DUMMYFUNCTION("""COMPUTED_VALUE"""),"Facebook")</f>
        <v>Facebook</v>
      </c>
      <c r="H492" s="3">
        <f>IFERROR(__xludf.DUMMYFUNCTION("""COMPUTED_VALUE"""),2.0221019E7)</f>
        <v>20221019</v>
      </c>
      <c r="I492" s="3" t="str">
        <f>IFERROR(__xludf.DUMMYFUNCTION("""COMPUTED_VALUE"""),"Visitjaipur")</f>
        <v>Visitjaipur</v>
      </c>
      <c r="J492" s="3">
        <f>IFERROR(__xludf.DUMMYFUNCTION("""COMPUTED_VALUE"""),5676.0)</f>
        <v>5676</v>
      </c>
      <c r="K492" s="3" t="str">
        <f t="shared" ref="K492:L492" si="496">TRIM(F492)</f>
        <v>NEFT</v>
      </c>
      <c r="L492" s="3" t="str">
        <f t="shared" si="496"/>
        <v>Facebook</v>
      </c>
      <c r="M492" s="3" t="str">
        <f t="shared" si="3"/>
        <v>Facebook</v>
      </c>
      <c r="N492" s="3" t="str">
        <f>IFERROR(__xludf.DUMMYFUNCTION("SPLIT(M492,""&amp;"")"),"Facebook")</f>
        <v>Facebook</v>
      </c>
      <c r="O492" s="3" t="str">
        <f t="shared" si="4"/>
        <v>Facebook</v>
      </c>
      <c r="P492" s="3" t="str">
        <f t="shared" si="5"/>
        <v>Visitjaipur</v>
      </c>
      <c r="Q492" s="3" t="str">
        <f t="shared" si="6"/>
        <v>Visitjaipur</v>
      </c>
      <c r="R492" s="3">
        <f t="shared" si="7"/>
        <v>5676</v>
      </c>
    </row>
    <row r="493">
      <c r="A493" s="7" t="s">
        <v>138</v>
      </c>
      <c r="B493" s="8" t="s">
        <v>6</v>
      </c>
      <c r="C493" s="8">
        <v>78400.0</v>
      </c>
      <c r="E493" s="3" t="str">
        <f>IFERROR(__xludf.DUMMYFUNCTION("SPLIT(A493,""|"")")," CHQ/YouTube &amp;/20221022/Visitrajasthan/4564 ")</f>
        <v> CHQ/YouTube &amp;/20221022/Visitrajasthan/4564 </v>
      </c>
      <c r="F493" s="3" t="str">
        <f>IFERROR(__xludf.DUMMYFUNCTION("SPLIT(E493,""/"")")," CHQ")</f>
        <v> CHQ</v>
      </c>
      <c r="G493" s="3" t="str">
        <f>IFERROR(__xludf.DUMMYFUNCTION("""COMPUTED_VALUE"""),"YouTube &amp;")</f>
        <v>YouTube &amp;</v>
      </c>
      <c r="H493" s="3">
        <f>IFERROR(__xludf.DUMMYFUNCTION("""COMPUTED_VALUE"""),2.0221022E7)</f>
        <v>20221022</v>
      </c>
      <c r="I493" s="3" t="str">
        <f>IFERROR(__xludf.DUMMYFUNCTION("""COMPUTED_VALUE"""),"Visitrajasthan")</f>
        <v>Visitrajasthan</v>
      </c>
      <c r="J493" s="3">
        <f>IFERROR(__xludf.DUMMYFUNCTION("""COMPUTED_VALUE"""),4564.0)</f>
        <v>4564</v>
      </c>
      <c r="K493" s="3" t="str">
        <f t="shared" ref="K493:L493" si="497">TRIM(F493)</f>
        <v>CHQ</v>
      </c>
      <c r="L493" s="3" t="str">
        <f t="shared" si="497"/>
        <v>YouTube &amp;</v>
      </c>
      <c r="M493" s="3" t="str">
        <f t="shared" si="3"/>
        <v>Youtube &amp;</v>
      </c>
      <c r="N493" s="3" t="str">
        <f>IFERROR(__xludf.DUMMYFUNCTION("SPLIT(M493,""&amp;"")"),"Youtube ")</f>
        <v>Youtube </v>
      </c>
      <c r="O493" s="3" t="str">
        <f t="shared" si="4"/>
        <v>Youtube</v>
      </c>
      <c r="P493" s="3" t="str">
        <f t="shared" si="5"/>
        <v>Visitrajasthan</v>
      </c>
      <c r="Q493" s="3" t="str">
        <f t="shared" si="6"/>
        <v>Visitrajasthan</v>
      </c>
      <c r="R493" s="3">
        <f t="shared" si="7"/>
        <v>4564</v>
      </c>
    </row>
    <row r="494">
      <c r="A494" s="7" t="s">
        <v>139</v>
      </c>
      <c r="B494" s="8" t="s">
        <v>6</v>
      </c>
      <c r="C494" s="8">
        <v>72800.0</v>
      </c>
      <c r="E494" s="3" t="str">
        <f>IFERROR(__xludf.DUMMYFUNCTION("SPLIT(A494,""|"")")," VfS/Instagram/20221025/visitudaipur/4565 ")</f>
        <v> VfS/Instagram/20221025/visitudaipur/4565 </v>
      </c>
      <c r="F494" s="3" t="str">
        <f>IFERROR(__xludf.DUMMYFUNCTION("SPLIT(E494,""/"")")," VfS")</f>
        <v> VfS</v>
      </c>
      <c r="G494" s="3" t="str">
        <f>IFERROR(__xludf.DUMMYFUNCTION("""COMPUTED_VALUE"""),"Instagram")</f>
        <v>Instagram</v>
      </c>
      <c r="H494" s="3">
        <f>IFERROR(__xludf.DUMMYFUNCTION("""COMPUTED_VALUE"""),2.0221025E7)</f>
        <v>20221025</v>
      </c>
      <c r="I494" s="3" t="str">
        <f>IFERROR(__xludf.DUMMYFUNCTION("""COMPUTED_VALUE"""),"visitudaipur")</f>
        <v>visitudaipur</v>
      </c>
      <c r="J494" s="3">
        <f>IFERROR(__xludf.DUMMYFUNCTION("""COMPUTED_VALUE"""),4565.0)</f>
        <v>4565</v>
      </c>
      <c r="K494" s="3" t="str">
        <f t="shared" ref="K494:L494" si="498">TRIM(F494)</f>
        <v>VfS</v>
      </c>
      <c r="L494" s="3" t="str">
        <f t="shared" si="498"/>
        <v>Instagram</v>
      </c>
      <c r="M494" s="3" t="str">
        <f t="shared" si="3"/>
        <v>Instagram</v>
      </c>
      <c r="N494" s="3" t="str">
        <f>IFERROR(__xludf.DUMMYFUNCTION("SPLIT(M494,""&amp;"")"),"Instagram")</f>
        <v>Instagram</v>
      </c>
      <c r="O494" s="3" t="str">
        <f t="shared" si="4"/>
        <v>Instagram</v>
      </c>
      <c r="P494" s="3" t="str">
        <f t="shared" si="5"/>
        <v>visitudaipur</v>
      </c>
      <c r="Q494" s="3" t="str">
        <f t="shared" si="6"/>
        <v>Visitudaipur</v>
      </c>
      <c r="R494" s="3">
        <f t="shared" si="7"/>
        <v>4565</v>
      </c>
    </row>
    <row r="495">
      <c r="A495" s="7" t="s">
        <v>140</v>
      </c>
      <c r="B495" s="8" t="s">
        <v>6</v>
      </c>
      <c r="C495" s="8">
        <v>45600.0</v>
      </c>
      <c r="E495" s="3" t="str">
        <f>IFERROR(__xludf.DUMMYFUNCTION("SPLIT(A495,""|"")")," VIN/OfflINe &amp;/20221028/Visitjodhpur/4566 ")</f>
        <v> VIN/OfflINe &amp;/20221028/Visitjodhpur/4566 </v>
      </c>
      <c r="F495" s="3" t="str">
        <f>IFERROR(__xludf.DUMMYFUNCTION("SPLIT(E495,""/"")")," VIN")</f>
        <v> VIN</v>
      </c>
      <c r="G495" s="3" t="str">
        <f>IFERROR(__xludf.DUMMYFUNCTION("""COMPUTED_VALUE"""),"OfflINe &amp;")</f>
        <v>OfflINe &amp;</v>
      </c>
      <c r="H495" s="3">
        <f>IFERROR(__xludf.DUMMYFUNCTION("""COMPUTED_VALUE"""),2.0221028E7)</f>
        <v>20221028</v>
      </c>
      <c r="I495" s="3" t="str">
        <f>IFERROR(__xludf.DUMMYFUNCTION("""COMPUTED_VALUE"""),"Visitjodhpur")</f>
        <v>Visitjodhpur</v>
      </c>
      <c r="J495" s="3">
        <f>IFERROR(__xludf.DUMMYFUNCTION("""COMPUTED_VALUE"""),4566.0)</f>
        <v>4566</v>
      </c>
      <c r="K495" s="3" t="str">
        <f t="shared" ref="K495:L495" si="499">TRIM(F495)</f>
        <v>VIN</v>
      </c>
      <c r="L495" s="3" t="str">
        <f t="shared" si="499"/>
        <v>OfflINe &amp;</v>
      </c>
      <c r="M495" s="3" t="str">
        <f t="shared" si="3"/>
        <v>Offline &amp;</v>
      </c>
      <c r="N495" s="3" t="str">
        <f>IFERROR(__xludf.DUMMYFUNCTION("SPLIT(M495,""&amp;"")"),"Offline ")</f>
        <v>Offline </v>
      </c>
      <c r="O495" s="3" t="str">
        <f t="shared" si="4"/>
        <v>Offline</v>
      </c>
      <c r="P495" s="3" t="str">
        <f t="shared" si="5"/>
        <v>Visitjodhpur</v>
      </c>
      <c r="Q495" s="3" t="str">
        <f t="shared" si="6"/>
        <v>Visitjodhpur</v>
      </c>
      <c r="R495" s="3">
        <f t="shared" si="7"/>
        <v>4566</v>
      </c>
    </row>
    <row r="496">
      <c r="A496" s="7" t="s">
        <v>141</v>
      </c>
      <c r="B496" s="8" t="s">
        <v>19</v>
      </c>
      <c r="C496" s="8">
        <v>97100.0</v>
      </c>
      <c r="E496" s="3" t="str">
        <f>IFERROR(__xludf.DUMMYFUNCTION("SPLIT(A496,""|"")")," CHQ/Facebook/20221101/Visitjaipur/5676 ")</f>
        <v> CHQ/Facebook/20221101/Visitjaipur/5676 </v>
      </c>
      <c r="F496" s="3" t="str">
        <f>IFERROR(__xludf.DUMMYFUNCTION("SPLIT(E496,""/"")")," CHQ")</f>
        <v> CHQ</v>
      </c>
      <c r="G496" s="3" t="str">
        <f>IFERROR(__xludf.DUMMYFUNCTION("""COMPUTED_VALUE"""),"Facebook")</f>
        <v>Facebook</v>
      </c>
      <c r="H496" s="3">
        <f>IFERROR(__xludf.DUMMYFUNCTION("""COMPUTED_VALUE"""),2.0221101E7)</f>
        <v>20221101</v>
      </c>
      <c r="I496" s="3" t="str">
        <f>IFERROR(__xludf.DUMMYFUNCTION("""COMPUTED_VALUE"""),"Visitjaipur")</f>
        <v>Visitjaipur</v>
      </c>
      <c r="J496" s="3">
        <f>IFERROR(__xludf.DUMMYFUNCTION("""COMPUTED_VALUE"""),5676.0)</f>
        <v>5676</v>
      </c>
      <c r="K496" s="3" t="str">
        <f t="shared" ref="K496:L496" si="500">TRIM(F496)</f>
        <v>CHQ</v>
      </c>
      <c r="L496" s="3" t="str">
        <f t="shared" si="500"/>
        <v>Facebook</v>
      </c>
      <c r="M496" s="3" t="str">
        <f t="shared" si="3"/>
        <v>Facebook</v>
      </c>
      <c r="N496" s="3" t="str">
        <f>IFERROR(__xludf.DUMMYFUNCTION("SPLIT(M496,""&amp;"")"),"Facebook")</f>
        <v>Facebook</v>
      </c>
      <c r="O496" s="3" t="str">
        <f t="shared" si="4"/>
        <v>Facebook</v>
      </c>
      <c r="P496" s="3" t="str">
        <f t="shared" si="5"/>
        <v>Visitjaipur</v>
      </c>
      <c r="Q496" s="3" t="str">
        <f t="shared" si="6"/>
        <v>Visitjaipur</v>
      </c>
      <c r="R496" s="3">
        <f t="shared" si="7"/>
        <v>5676</v>
      </c>
    </row>
    <row r="497">
      <c r="A497" s="7" t="s">
        <v>142</v>
      </c>
      <c r="B497" s="8" t="s">
        <v>19</v>
      </c>
      <c r="C497" s="8">
        <v>27900.0</v>
      </c>
      <c r="E497" s="3" t="str">
        <f>IFERROR(__xludf.DUMMYFUNCTION("SPLIT(A497,""|"")")," VfS/YouTube/20221104/Visitrajasthan/4564 ")</f>
        <v> VfS/YouTube/20221104/Visitrajasthan/4564 </v>
      </c>
      <c r="F497" s="3" t="str">
        <f>IFERROR(__xludf.DUMMYFUNCTION("SPLIT(E497,""/"")")," VfS")</f>
        <v> VfS</v>
      </c>
      <c r="G497" s="3" t="str">
        <f>IFERROR(__xludf.DUMMYFUNCTION("""COMPUTED_VALUE"""),"YouTube")</f>
        <v>YouTube</v>
      </c>
      <c r="H497" s="3">
        <f>IFERROR(__xludf.DUMMYFUNCTION("""COMPUTED_VALUE"""),2.0221104E7)</f>
        <v>20221104</v>
      </c>
      <c r="I497" s="3" t="str">
        <f>IFERROR(__xludf.DUMMYFUNCTION("""COMPUTED_VALUE"""),"Visitrajasthan")</f>
        <v>Visitrajasthan</v>
      </c>
      <c r="J497" s="3">
        <f>IFERROR(__xludf.DUMMYFUNCTION("""COMPUTED_VALUE"""),4564.0)</f>
        <v>4564</v>
      </c>
      <c r="K497" s="3" t="str">
        <f t="shared" ref="K497:L497" si="501">TRIM(F497)</f>
        <v>VfS</v>
      </c>
      <c r="L497" s="3" t="str">
        <f t="shared" si="501"/>
        <v>YouTube</v>
      </c>
      <c r="M497" s="3" t="str">
        <f t="shared" si="3"/>
        <v>Youtube</v>
      </c>
      <c r="N497" s="3" t="str">
        <f>IFERROR(__xludf.DUMMYFUNCTION("SPLIT(M497,""&amp;"")"),"Youtube")</f>
        <v>Youtube</v>
      </c>
      <c r="O497" s="3" t="str">
        <f t="shared" si="4"/>
        <v>Youtube</v>
      </c>
      <c r="P497" s="3" t="str">
        <f t="shared" si="5"/>
        <v>Visitrajasthan</v>
      </c>
      <c r="Q497" s="3" t="str">
        <f t="shared" si="6"/>
        <v>Visitrajasthan</v>
      </c>
      <c r="R497" s="3">
        <f t="shared" si="7"/>
        <v>4564</v>
      </c>
    </row>
    <row r="498">
      <c r="A498" s="7" t="s">
        <v>143</v>
      </c>
      <c r="B498" s="8" t="s">
        <v>19</v>
      </c>
      <c r="C498" s="8">
        <v>56200.0</v>
      </c>
      <c r="E498" s="3" t="str">
        <f>IFERROR(__xludf.DUMMYFUNCTION("SPLIT(A498,""|"")")," NEFT/Instagram/20221107/visitudaipur/4565 ")</f>
        <v> NEFT/Instagram/20221107/visitudaipur/4565 </v>
      </c>
      <c r="F498" s="3" t="str">
        <f>IFERROR(__xludf.DUMMYFUNCTION("SPLIT(E498,""/"")")," NEFT")</f>
        <v> NEFT</v>
      </c>
      <c r="G498" s="3" t="str">
        <f>IFERROR(__xludf.DUMMYFUNCTION("""COMPUTED_VALUE"""),"Instagram")</f>
        <v>Instagram</v>
      </c>
      <c r="H498" s="3">
        <f>IFERROR(__xludf.DUMMYFUNCTION("""COMPUTED_VALUE"""),2.0221107E7)</f>
        <v>20221107</v>
      </c>
      <c r="I498" s="3" t="str">
        <f>IFERROR(__xludf.DUMMYFUNCTION("""COMPUTED_VALUE"""),"visitudaipur")</f>
        <v>visitudaipur</v>
      </c>
      <c r="J498" s="3">
        <f>IFERROR(__xludf.DUMMYFUNCTION("""COMPUTED_VALUE"""),4565.0)</f>
        <v>4565</v>
      </c>
      <c r="K498" s="3" t="str">
        <f t="shared" ref="K498:L498" si="502">TRIM(F498)</f>
        <v>NEFT</v>
      </c>
      <c r="L498" s="3" t="str">
        <f t="shared" si="502"/>
        <v>Instagram</v>
      </c>
      <c r="M498" s="3" t="str">
        <f t="shared" si="3"/>
        <v>Instagram</v>
      </c>
      <c r="N498" s="3" t="str">
        <f>IFERROR(__xludf.DUMMYFUNCTION("SPLIT(M498,""&amp;"")"),"Instagram")</f>
        <v>Instagram</v>
      </c>
      <c r="O498" s="3" t="str">
        <f t="shared" si="4"/>
        <v>Instagram</v>
      </c>
      <c r="P498" s="3" t="str">
        <f t="shared" si="5"/>
        <v>visitudaipur</v>
      </c>
      <c r="Q498" s="3" t="str">
        <f t="shared" si="6"/>
        <v>Visitudaipur</v>
      </c>
      <c r="R498" s="3">
        <f t="shared" si="7"/>
        <v>4565</v>
      </c>
    </row>
    <row r="499">
      <c r="A499" s="7" t="s">
        <v>144</v>
      </c>
      <c r="B499" s="8" t="s">
        <v>19</v>
      </c>
      <c r="C499" s="8">
        <v>89400.0</v>
      </c>
      <c r="E499" s="3" t="str">
        <f>IFERROR(__xludf.DUMMYFUNCTION("SPLIT(A499,""|"")")," CHQ/Offline &amp;/20221110/Visitjodhpur/4566 ")</f>
        <v> CHQ/Offline &amp;/20221110/Visitjodhpur/4566 </v>
      </c>
      <c r="F499" s="3" t="str">
        <f>IFERROR(__xludf.DUMMYFUNCTION("SPLIT(E499,""/"")")," CHQ")</f>
        <v> CHQ</v>
      </c>
      <c r="G499" s="3" t="str">
        <f>IFERROR(__xludf.DUMMYFUNCTION("""COMPUTED_VALUE"""),"Offline &amp;")</f>
        <v>Offline &amp;</v>
      </c>
      <c r="H499" s="3">
        <f>IFERROR(__xludf.DUMMYFUNCTION("""COMPUTED_VALUE"""),2.022111E7)</f>
        <v>20221110</v>
      </c>
      <c r="I499" s="3" t="str">
        <f>IFERROR(__xludf.DUMMYFUNCTION("""COMPUTED_VALUE"""),"Visitjodhpur")</f>
        <v>Visitjodhpur</v>
      </c>
      <c r="J499" s="3">
        <f>IFERROR(__xludf.DUMMYFUNCTION("""COMPUTED_VALUE"""),4566.0)</f>
        <v>4566</v>
      </c>
      <c r="K499" s="3" t="str">
        <f t="shared" ref="K499:L499" si="503">TRIM(F499)</f>
        <v>CHQ</v>
      </c>
      <c r="L499" s="3" t="str">
        <f t="shared" si="503"/>
        <v>Offline &amp;</v>
      </c>
      <c r="M499" s="3" t="str">
        <f t="shared" si="3"/>
        <v>Offline &amp;</v>
      </c>
      <c r="N499" s="3" t="str">
        <f>IFERROR(__xludf.DUMMYFUNCTION("SPLIT(M499,""&amp;"")"),"Offline ")</f>
        <v>Offline </v>
      </c>
      <c r="O499" s="3" t="str">
        <f t="shared" si="4"/>
        <v>Offline</v>
      </c>
      <c r="P499" s="3" t="str">
        <f t="shared" si="5"/>
        <v>Visitjodhpur</v>
      </c>
      <c r="Q499" s="3" t="str">
        <f t="shared" si="6"/>
        <v>Visitjodhpur</v>
      </c>
      <c r="R499" s="3">
        <f t="shared" si="7"/>
        <v>4566</v>
      </c>
    </row>
    <row r="500">
      <c r="A500" s="7" t="s">
        <v>145</v>
      </c>
      <c r="B500" s="8" t="s">
        <v>19</v>
      </c>
      <c r="C500" s="8">
        <v>77100.0</v>
      </c>
      <c r="E500" s="3" t="str">
        <f>IFERROR(__xludf.DUMMYFUNCTION("SPLIT(A500,""|"")")," VfS/Google Ads/20221113/visitJaisalmer/3455 ")</f>
        <v> VfS/Google Ads/20221113/visitJaisalmer/3455 </v>
      </c>
      <c r="F500" s="3" t="str">
        <f>IFERROR(__xludf.DUMMYFUNCTION("SPLIT(E500,""/"")")," VfS")</f>
        <v> VfS</v>
      </c>
      <c r="G500" s="3" t="str">
        <f>IFERROR(__xludf.DUMMYFUNCTION("""COMPUTED_VALUE"""),"Google Ads")</f>
        <v>Google Ads</v>
      </c>
      <c r="H500" s="3">
        <f>IFERROR(__xludf.DUMMYFUNCTION("""COMPUTED_VALUE"""),2.0221113E7)</f>
        <v>20221113</v>
      </c>
      <c r="I500" s="3" t="str">
        <f>IFERROR(__xludf.DUMMYFUNCTION("""COMPUTED_VALUE"""),"visitJaisalmer")</f>
        <v>visitJaisalmer</v>
      </c>
      <c r="J500" s="3">
        <f>IFERROR(__xludf.DUMMYFUNCTION("""COMPUTED_VALUE"""),3455.0)</f>
        <v>3455</v>
      </c>
      <c r="K500" s="3" t="str">
        <f t="shared" ref="K500:L500" si="504">TRIM(F500)</f>
        <v>VfS</v>
      </c>
      <c r="L500" s="3" t="str">
        <f t="shared" si="504"/>
        <v>Google Ads</v>
      </c>
      <c r="M500" s="3" t="str">
        <f t="shared" si="3"/>
        <v>Google Ads</v>
      </c>
      <c r="N500" s="3" t="str">
        <f>IFERROR(__xludf.DUMMYFUNCTION("SPLIT(M500,""&amp;"")"),"Google Ads")</f>
        <v>Google Ads</v>
      </c>
      <c r="O500" s="3" t="str">
        <f t="shared" si="4"/>
        <v>Google Ads</v>
      </c>
      <c r="P500" s="3" t="str">
        <f t="shared" si="5"/>
        <v>visitJaisalmer</v>
      </c>
      <c r="Q500" s="3" t="str">
        <f t="shared" si="6"/>
        <v>Visitjaisalmer</v>
      </c>
      <c r="R500" s="3">
        <f t="shared" si="7"/>
        <v>3455</v>
      </c>
    </row>
    <row r="501">
      <c r="A501" s="7" t="s">
        <v>146</v>
      </c>
      <c r="B501" s="8" t="s">
        <v>19</v>
      </c>
      <c r="C501" s="8">
        <v>78300.0</v>
      </c>
      <c r="E501" s="3" t="str">
        <f>IFERROR(__xludf.DUMMYFUNCTION("SPLIT(A501,""|"")")," VIN/TwiTter/20221116/visitbikaner/5666 ")</f>
        <v> VIN/TwiTter/20221116/visitbikaner/5666 </v>
      </c>
      <c r="F501" s="3" t="str">
        <f>IFERROR(__xludf.DUMMYFUNCTION("SPLIT(E501,""/"")")," VIN")</f>
        <v> VIN</v>
      </c>
      <c r="G501" s="3" t="str">
        <f>IFERROR(__xludf.DUMMYFUNCTION("""COMPUTED_VALUE"""),"TwiTter")</f>
        <v>TwiTter</v>
      </c>
      <c r="H501" s="3">
        <f>IFERROR(__xludf.DUMMYFUNCTION("""COMPUTED_VALUE"""),2.0221116E7)</f>
        <v>20221116</v>
      </c>
      <c r="I501" s="3" t="str">
        <f>IFERROR(__xludf.DUMMYFUNCTION("""COMPUTED_VALUE"""),"visitbikaner")</f>
        <v>visitbikaner</v>
      </c>
      <c r="J501" s="3">
        <f>IFERROR(__xludf.DUMMYFUNCTION("""COMPUTED_VALUE"""),5666.0)</f>
        <v>5666</v>
      </c>
      <c r="K501" s="3" t="str">
        <f t="shared" ref="K501:L501" si="505">TRIM(F501)</f>
        <v>VIN</v>
      </c>
      <c r="L501" s="3" t="str">
        <f t="shared" si="505"/>
        <v>TwiTter</v>
      </c>
      <c r="M501" s="3" t="str">
        <f t="shared" si="3"/>
        <v>Twitter</v>
      </c>
      <c r="N501" s="3" t="str">
        <f>IFERROR(__xludf.DUMMYFUNCTION("SPLIT(M501,""&amp;"")"),"Twitter")</f>
        <v>Twitter</v>
      </c>
      <c r="O501" s="3" t="str">
        <f t="shared" si="4"/>
        <v>Twitter</v>
      </c>
      <c r="P501" s="3" t="str">
        <f t="shared" si="5"/>
        <v>visitbikaner</v>
      </c>
      <c r="Q501" s="3" t="str">
        <f t="shared" si="6"/>
        <v>Visitbikaner</v>
      </c>
      <c r="R501" s="3">
        <f t="shared" si="7"/>
        <v>5666</v>
      </c>
    </row>
    <row r="502">
      <c r="A502" s="7" t="s">
        <v>147</v>
      </c>
      <c r="B502" s="8" t="s">
        <v>19</v>
      </c>
      <c r="C502" s="8">
        <v>34400.0</v>
      </c>
      <c r="E502" s="3" t="str">
        <f>IFERROR(__xludf.DUMMYFUNCTION("SPLIT(A502,""|"")")," NEFT/Facebook/20221119/Visitjaipur/5676 ")</f>
        <v> NEFT/Facebook/20221119/Visitjaipur/5676 </v>
      </c>
      <c r="F502" s="3" t="str">
        <f>IFERROR(__xludf.DUMMYFUNCTION("SPLIT(E502,""/"")")," NEFT")</f>
        <v> NEFT</v>
      </c>
      <c r="G502" s="3" t="str">
        <f>IFERROR(__xludf.DUMMYFUNCTION("""COMPUTED_VALUE"""),"Facebook")</f>
        <v>Facebook</v>
      </c>
      <c r="H502" s="3">
        <f>IFERROR(__xludf.DUMMYFUNCTION("""COMPUTED_VALUE"""),2.0221119E7)</f>
        <v>20221119</v>
      </c>
      <c r="I502" s="3" t="str">
        <f>IFERROR(__xludf.DUMMYFUNCTION("""COMPUTED_VALUE"""),"Visitjaipur")</f>
        <v>Visitjaipur</v>
      </c>
      <c r="J502" s="3">
        <f>IFERROR(__xludf.DUMMYFUNCTION("""COMPUTED_VALUE"""),5676.0)</f>
        <v>5676</v>
      </c>
      <c r="K502" s="3" t="str">
        <f t="shared" ref="K502:L502" si="506">TRIM(F502)</f>
        <v>NEFT</v>
      </c>
      <c r="L502" s="3" t="str">
        <f t="shared" si="506"/>
        <v>Facebook</v>
      </c>
      <c r="M502" s="3" t="str">
        <f t="shared" si="3"/>
        <v>Facebook</v>
      </c>
      <c r="N502" s="3" t="str">
        <f>IFERROR(__xludf.DUMMYFUNCTION("SPLIT(M502,""&amp;"")"),"Facebook")</f>
        <v>Facebook</v>
      </c>
      <c r="O502" s="3" t="str">
        <f t="shared" si="4"/>
        <v>Facebook</v>
      </c>
      <c r="P502" s="3" t="str">
        <f t="shared" si="5"/>
        <v>Visitjaipur</v>
      </c>
      <c r="Q502" s="3" t="str">
        <f t="shared" si="6"/>
        <v>Visitjaipur</v>
      </c>
      <c r="R502" s="3">
        <f t="shared" si="7"/>
        <v>5676</v>
      </c>
    </row>
    <row r="503">
      <c r="A503" s="7" t="s">
        <v>148</v>
      </c>
      <c r="B503" s="8" t="s">
        <v>19</v>
      </c>
      <c r="C503" s="8">
        <v>12300.0</v>
      </c>
      <c r="E503" s="3" t="str">
        <f>IFERROR(__xludf.DUMMYFUNCTION("SPLIT(A503,""|"")")," CHQ/YouTube &amp;/20221122/Visitrajasthan/4564 ")</f>
        <v> CHQ/YouTube &amp;/20221122/Visitrajasthan/4564 </v>
      </c>
      <c r="F503" s="3" t="str">
        <f>IFERROR(__xludf.DUMMYFUNCTION("SPLIT(E503,""/"")")," CHQ")</f>
        <v> CHQ</v>
      </c>
      <c r="G503" s="3" t="str">
        <f>IFERROR(__xludf.DUMMYFUNCTION("""COMPUTED_VALUE"""),"YouTube &amp;")</f>
        <v>YouTube &amp;</v>
      </c>
      <c r="H503" s="3">
        <f>IFERROR(__xludf.DUMMYFUNCTION("""COMPUTED_VALUE"""),2.0221122E7)</f>
        <v>20221122</v>
      </c>
      <c r="I503" s="3" t="str">
        <f>IFERROR(__xludf.DUMMYFUNCTION("""COMPUTED_VALUE"""),"Visitrajasthan")</f>
        <v>Visitrajasthan</v>
      </c>
      <c r="J503" s="3">
        <f>IFERROR(__xludf.DUMMYFUNCTION("""COMPUTED_VALUE"""),4564.0)</f>
        <v>4564</v>
      </c>
      <c r="K503" s="3" t="str">
        <f t="shared" ref="K503:L503" si="507">TRIM(F503)</f>
        <v>CHQ</v>
      </c>
      <c r="L503" s="3" t="str">
        <f t="shared" si="507"/>
        <v>YouTube &amp;</v>
      </c>
      <c r="M503" s="3" t="str">
        <f t="shared" si="3"/>
        <v>Youtube &amp;</v>
      </c>
      <c r="N503" s="3" t="str">
        <f>IFERROR(__xludf.DUMMYFUNCTION("SPLIT(M503,""&amp;"")"),"Youtube ")</f>
        <v>Youtube </v>
      </c>
      <c r="O503" s="3" t="str">
        <f t="shared" si="4"/>
        <v>Youtube</v>
      </c>
      <c r="P503" s="3" t="str">
        <f t="shared" si="5"/>
        <v>Visitrajasthan</v>
      </c>
      <c r="Q503" s="3" t="str">
        <f t="shared" si="6"/>
        <v>Visitrajasthan</v>
      </c>
      <c r="R503" s="3">
        <f t="shared" si="7"/>
        <v>4564</v>
      </c>
    </row>
    <row r="504">
      <c r="A504" s="7" t="s">
        <v>149</v>
      </c>
      <c r="B504" s="8" t="s">
        <v>19</v>
      </c>
      <c r="C504" s="8">
        <v>44100.0</v>
      </c>
      <c r="E504" s="3" t="str">
        <f>IFERROR(__xludf.DUMMYFUNCTION("SPLIT(A504,""|"")")," VfS/Instagram/20221125/visitudaipur/4565 ")</f>
        <v> VfS/Instagram/20221125/visitudaipur/4565 </v>
      </c>
      <c r="F504" s="3" t="str">
        <f>IFERROR(__xludf.DUMMYFUNCTION("SPLIT(E504,""/"")")," VfS")</f>
        <v> VfS</v>
      </c>
      <c r="G504" s="3" t="str">
        <f>IFERROR(__xludf.DUMMYFUNCTION("""COMPUTED_VALUE"""),"Instagram")</f>
        <v>Instagram</v>
      </c>
      <c r="H504" s="3">
        <f>IFERROR(__xludf.DUMMYFUNCTION("""COMPUTED_VALUE"""),2.0221125E7)</f>
        <v>20221125</v>
      </c>
      <c r="I504" s="3" t="str">
        <f>IFERROR(__xludf.DUMMYFUNCTION("""COMPUTED_VALUE"""),"visitudaipur")</f>
        <v>visitudaipur</v>
      </c>
      <c r="J504" s="3">
        <f>IFERROR(__xludf.DUMMYFUNCTION("""COMPUTED_VALUE"""),4565.0)</f>
        <v>4565</v>
      </c>
      <c r="K504" s="3" t="str">
        <f t="shared" ref="K504:L504" si="508">TRIM(F504)</f>
        <v>VfS</v>
      </c>
      <c r="L504" s="3" t="str">
        <f t="shared" si="508"/>
        <v>Instagram</v>
      </c>
      <c r="M504" s="3" t="str">
        <f t="shared" si="3"/>
        <v>Instagram</v>
      </c>
      <c r="N504" s="3" t="str">
        <f>IFERROR(__xludf.DUMMYFUNCTION("SPLIT(M504,""&amp;"")"),"Instagram")</f>
        <v>Instagram</v>
      </c>
      <c r="O504" s="3" t="str">
        <f t="shared" si="4"/>
        <v>Instagram</v>
      </c>
      <c r="P504" s="3" t="str">
        <f t="shared" si="5"/>
        <v>visitudaipur</v>
      </c>
      <c r="Q504" s="3" t="str">
        <f t="shared" si="6"/>
        <v>Visitudaipur</v>
      </c>
      <c r="R504" s="3">
        <f t="shared" si="7"/>
        <v>4565</v>
      </c>
    </row>
    <row r="505">
      <c r="A505" s="7" t="s">
        <v>150</v>
      </c>
      <c r="B505" s="8" t="s">
        <v>19</v>
      </c>
      <c r="C505" s="8">
        <v>54000.0</v>
      </c>
      <c r="E505" s="3" t="str">
        <f>IFERROR(__xludf.DUMMYFUNCTION("SPLIT(A505,""|"")")," VIN/OfflINe &amp;/20221128/Visitjodhpur/4566 ")</f>
        <v> VIN/OfflINe &amp;/20221128/Visitjodhpur/4566 </v>
      </c>
      <c r="F505" s="3" t="str">
        <f>IFERROR(__xludf.DUMMYFUNCTION("SPLIT(E505,""/"")")," VIN")</f>
        <v> VIN</v>
      </c>
      <c r="G505" s="3" t="str">
        <f>IFERROR(__xludf.DUMMYFUNCTION("""COMPUTED_VALUE"""),"OfflINe &amp;")</f>
        <v>OfflINe &amp;</v>
      </c>
      <c r="H505" s="3">
        <f>IFERROR(__xludf.DUMMYFUNCTION("""COMPUTED_VALUE"""),2.0221128E7)</f>
        <v>20221128</v>
      </c>
      <c r="I505" s="3" t="str">
        <f>IFERROR(__xludf.DUMMYFUNCTION("""COMPUTED_VALUE"""),"Visitjodhpur")</f>
        <v>Visitjodhpur</v>
      </c>
      <c r="J505" s="3">
        <f>IFERROR(__xludf.DUMMYFUNCTION("""COMPUTED_VALUE"""),4566.0)</f>
        <v>4566</v>
      </c>
      <c r="K505" s="3" t="str">
        <f t="shared" ref="K505:L505" si="509">TRIM(F505)</f>
        <v>VIN</v>
      </c>
      <c r="L505" s="3" t="str">
        <f t="shared" si="509"/>
        <v>OfflINe &amp;</v>
      </c>
      <c r="M505" s="3" t="str">
        <f t="shared" si="3"/>
        <v>Offline &amp;</v>
      </c>
      <c r="N505" s="3" t="str">
        <f>IFERROR(__xludf.DUMMYFUNCTION("SPLIT(M505,""&amp;"")"),"Offline ")</f>
        <v>Offline </v>
      </c>
      <c r="O505" s="3" t="str">
        <f t="shared" si="4"/>
        <v>Offline</v>
      </c>
      <c r="P505" s="3" t="str">
        <f t="shared" si="5"/>
        <v>Visitjodhpur</v>
      </c>
      <c r="Q505" s="3" t="str">
        <f t="shared" si="6"/>
        <v>Visitjodhpur</v>
      </c>
      <c r="R505" s="3">
        <f t="shared" si="7"/>
        <v>4566</v>
      </c>
    </row>
    <row r="506">
      <c r="A506" s="7" t="s">
        <v>121</v>
      </c>
      <c r="B506" s="8" t="s">
        <v>20</v>
      </c>
      <c r="C506" s="8">
        <v>65000.0</v>
      </c>
      <c r="E506" s="3" t="str">
        <f>IFERROR(__xludf.DUMMYFUNCTION("SPLIT(A506,""|"")")," CHQ/Facebook/20221201/Visitjaipur/5676 ")</f>
        <v> CHQ/Facebook/20221201/Visitjaipur/5676 </v>
      </c>
      <c r="F506" s="3" t="str">
        <f>IFERROR(__xludf.DUMMYFUNCTION("SPLIT(E506,""/"")")," CHQ")</f>
        <v> CHQ</v>
      </c>
      <c r="G506" s="3" t="str">
        <f>IFERROR(__xludf.DUMMYFUNCTION("""COMPUTED_VALUE"""),"Facebook")</f>
        <v>Facebook</v>
      </c>
      <c r="H506" s="3">
        <f>IFERROR(__xludf.DUMMYFUNCTION("""COMPUTED_VALUE"""),2.0221201E7)</f>
        <v>20221201</v>
      </c>
      <c r="I506" s="3" t="str">
        <f>IFERROR(__xludf.DUMMYFUNCTION("""COMPUTED_VALUE"""),"Visitjaipur")</f>
        <v>Visitjaipur</v>
      </c>
      <c r="J506" s="3">
        <f>IFERROR(__xludf.DUMMYFUNCTION("""COMPUTED_VALUE"""),5676.0)</f>
        <v>5676</v>
      </c>
      <c r="K506" s="3" t="str">
        <f t="shared" ref="K506:L506" si="510">TRIM(F506)</f>
        <v>CHQ</v>
      </c>
      <c r="L506" s="3" t="str">
        <f t="shared" si="510"/>
        <v>Facebook</v>
      </c>
      <c r="M506" s="3" t="str">
        <f t="shared" si="3"/>
        <v>Facebook</v>
      </c>
      <c r="N506" s="3" t="str">
        <f>IFERROR(__xludf.DUMMYFUNCTION("SPLIT(M506,""&amp;"")"),"Facebook")</f>
        <v>Facebook</v>
      </c>
      <c r="O506" s="3" t="str">
        <f t="shared" si="4"/>
        <v>Facebook</v>
      </c>
      <c r="P506" s="3" t="str">
        <f t="shared" si="5"/>
        <v>Visitjaipur</v>
      </c>
      <c r="Q506" s="3" t="str">
        <f t="shared" si="6"/>
        <v>Visitjaipur</v>
      </c>
      <c r="R506" s="3">
        <f t="shared" si="7"/>
        <v>5676</v>
      </c>
    </row>
    <row r="507">
      <c r="A507" s="7" t="s">
        <v>122</v>
      </c>
      <c r="B507" s="8" t="s">
        <v>20</v>
      </c>
      <c r="C507" s="8">
        <v>43100.0</v>
      </c>
      <c r="E507" s="3" t="str">
        <f>IFERROR(__xludf.DUMMYFUNCTION("SPLIT(A507,""|"")")," VfS/YouTube/20221204/Visitrajasthan/4564 ")</f>
        <v> VfS/YouTube/20221204/Visitrajasthan/4564 </v>
      </c>
      <c r="F507" s="3" t="str">
        <f>IFERROR(__xludf.DUMMYFUNCTION("SPLIT(E507,""/"")")," VfS")</f>
        <v> VfS</v>
      </c>
      <c r="G507" s="3" t="str">
        <f>IFERROR(__xludf.DUMMYFUNCTION("""COMPUTED_VALUE"""),"YouTube")</f>
        <v>YouTube</v>
      </c>
      <c r="H507" s="3">
        <f>IFERROR(__xludf.DUMMYFUNCTION("""COMPUTED_VALUE"""),2.0221204E7)</f>
        <v>20221204</v>
      </c>
      <c r="I507" s="3" t="str">
        <f>IFERROR(__xludf.DUMMYFUNCTION("""COMPUTED_VALUE"""),"Visitrajasthan")</f>
        <v>Visitrajasthan</v>
      </c>
      <c r="J507" s="3">
        <f>IFERROR(__xludf.DUMMYFUNCTION("""COMPUTED_VALUE"""),4564.0)</f>
        <v>4564</v>
      </c>
      <c r="K507" s="3" t="str">
        <f t="shared" ref="K507:L507" si="511">TRIM(F507)</f>
        <v>VfS</v>
      </c>
      <c r="L507" s="3" t="str">
        <f t="shared" si="511"/>
        <v>YouTube</v>
      </c>
      <c r="M507" s="3" t="str">
        <f t="shared" si="3"/>
        <v>Youtube</v>
      </c>
      <c r="N507" s="3" t="str">
        <f>IFERROR(__xludf.DUMMYFUNCTION("SPLIT(M507,""&amp;"")"),"Youtube")</f>
        <v>Youtube</v>
      </c>
      <c r="O507" s="3" t="str">
        <f t="shared" si="4"/>
        <v>Youtube</v>
      </c>
      <c r="P507" s="3" t="str">
        <f t="shared" si="5"/>
        <v>Visitrajasthan</v>
      </c>
      <c r="Q507" s="3" t="str">
        <f t="shared" si="6"/>
        <v>Visitrajasthan</v>
      </c>
      <c r="R507" s="3">
        <f t="shared" si="7"/>
        <v>4564</v>
      </c>
    </row>
    <row r="508">
      <c r="A508" s="7" t="s">
        <v>123</v>
      </c>
      <c r="B508" s="8" t="s">
        <v>20</v>
      </c>
      <c r="C508" s="8">
        <v>34300.0</v>
      </c>
      <c r="E508" s="3" t="str">
        <f>IFERROR(__xludf.DUMMYFUNCTION("SPLIT(A508,""|"")")," NEFT/Instagram/20221207/visitudaipur/4565 ")</f>
        <v> NEFT/Instagram/20221207/visitudaipur/4565 </v>
      </c>
      <c r="F508" s="3" t="str">
        <f>IFERROR(__xludf.DUMMYFUNCTION("SPLIT(E508,""/"")")," NEFT")</f>
        <v> NEFT</v>
      </c>
      <c r="G508" s="3" t="str">
        <f>IFERROR(__xludf.DUMMYFUNCTION("""COMPUTED_VALUE"""),"Instagram")</f>
        <v>Instagram</v>
      </c>
      <c r="H508" s="3">
        <f>IFERROR(__xludf.DUMMYFUNCTION("""COMPUTED_VALUE"""),2.0221207E7)</f>
        <v>20221207</v>
      </c>
      <c r="I508" s="3" t="str">
        <f>IFERROR(__xludf.DUMMYFUNCTION("""COMPUTED_VALUE"""),"visitudaipur")</f>
        <v>visitudaipur</v>
      </c>
      <c r="J508" s="3">
        <f>IFERROR(__xludf.DUMMYFUNCTION("""COMPUTED_VALUE"""),4565.0)</f>
        <v>4565</v>
      </c>
      <c r="K508" s="3" t="str">
        <f t="shared" ref="K508:L508" si="512">TRIM(F508)</f>
        <v>NEFT</v>
      </c>
      <c r="L508" s="3" t="str">
        <f t="shared" si="512"/>
        <v>Instagram</v>
      </c>
      <c r="M508" s="3" t="str">
        <f t="shared" si="3"/>
        <v>Instagram</v>
      </c>
      <c r="N508" s="3" t="str">
        <f>IFERROR(__xludf.DUMMYFUNCTION("SPLIT(M508,""&amp;"")"),"Instagram")</f>
        <v>Instagram</v>
      </c>
      <c r="O508" s="3" t="str">
        <f t="shared" si="4"/>
        <v>Instagram</v>
      </c>
      <c r="P508" s="3" t="str">
        <f t="shared" si="5"/>
        <v>visitudaipur</v>
      </c>
      <c r="Q508" s="3" t="str">
        <f t="shared" si="6"/>
        <v>Visitudaipur</v>
      </c>
      <c r="R508" s="3">
        <f t="shared" si="7"/>
        <v>4565</v>
      </c>
    </row>
    <row r="509">
      <c r="A509" s="7" t="s">
        <v>124</v>
      </c>
      <c r="B509" s="8" t="s">
        <v>20</v>
      </c>
      <c r="C509" s="8">
        <v>71700.0</v>
      </c>
      <c r="E509" s="3" t="str">
        <f>IFERROR(__xludf.DUMMYFUNCTION("SPLIT(A509,""|"")")," CHQ/Offline &amp;/20221210/Visitjodhpur/4566 ")</f>
        <v> CHQ/Offline &amp;/20221210/Visitjodhpur/4566 </v>
      </c>
      <c r="F509" s="3" t="str">
        <f>IFERROR(__xludf.DUMMYFUNCTION("SPLIT(E509,""/"")")," CHQ")</f>
        <v> CHQ</v>
      </c>
      <c r="G509" s="3" t="str">
        <f>IFERROR(__xludf.DUMMYFUNCTION("""COMPUTED_VALUE"""),"Offline &amp;")</f>
        <v>Offline &amp;</v>
      </c>
      <c r="H509" s="3">
        <f>IFERROR(__xludf.DUMMYFUNCTION("""COMPUTED_VALUE"""),2.022121E7)</f>
        <v>20221210</v>
      </c>
      <c r="I509" s="3" t="str">
        <f>IFERROR(__xludf.DUMMYFUNCTION("""COMPUTED_VALUE"""),"Visitjodhpur")</f>
        <v>Visitjodhpur</v>
      </c>
      <c r="J509" s="3">
        <f>IFERROR(__xludf.DUMMYFUNCTION("""COMPUTED_VALUE"""),4566.0)</f>
        <v>4566</v>
      </c>
      <c r="K509" s="3" t="str">
        <f t="shared" ref="K509:L509" si="513">TRIM(F509)</f>
        <v>CHQ</v>
      </c>
      <c r="L509" s="3" t="str">
        <f t="shared" si="513"/>
        <v>Offline &amp;</v>
      </c>
      <c r="M509" s="3" t="str">
        <f t="shared" si="3"/>
        <v>Offline &amp;</v>
      </c>
      <c r="N509" s="3" t="str">
        <f>IFERROR(__xludf.DUMMYFUNCTION("SPLIT(M509,""&amp;"")"),"Offline ")</f>
        <v>Offline </v>
      </c>
      <c r="O509" s="3" t="str">
        <f t="shared" si="4"/>
        <v>Offline</v>
      </c>
      <c r="P509" s="3" t="str">
        <f t="shared" si="5"/>
        <v>Visitjodhpur</v>
      </c>
      <c r="Q509" s="3" t="str">
        <f t="shared" si="6"/>
        <v>Visitjodhpur</v>
      </c>
      <c r="R509" s="3">
        <f t="shared" si="7"/>
        <v>4566</v>
      </c>
    </row>
    <row r="510">
      <c r="A510" s="7" t="s">
        <v>125</v>
      </c>
      <c r="B510" s="8" t="s">
        <v>20</v>
      </c>
      <c r="C510" s="8">
        <v>51500.0</v>
      </c>
      <c r="E510" s="3" t="str">
        <f>IFERROR(__xludf.DUMMYFUNCTION("SPLIT(A510,""|"")")," VfS/Google Ads/20221213/visitJaisalmer/3455 ")</f>
        <v> VfS/Google Ads/20221213/visitJaisalmer/3455 </v>
      </c>
      <c r="F510" s="3" t="str">
        <f>IFERROR(__xludf.DUMMYFUNCTION("SPLIT(E510,""/"")")," VfS")</f>
        <v> VfS</v>
      </c>
      <c r="G510" s="3" t="str">
        <f>IFERROR(__xludf.DUMMYFUNCTION("""COMPUTED_VALUE"""),"Google Ads")</f>
        <v>Google Ads</v>
      </c>
      <c r="H510" s="3">
        <f>IFERROR(__xludf.DUMMYFUNCTION("""COMPUTED_VALUE"""),2.0221213E7)</f>
        <v>20221213</v>
      </c>
      <c r="I510" s="3" t="str">
        <f>IFERROR(__xludf.DUMMYFUNCTION("""COMPUTED_VALUE"""),"visitJaisalmer")</f>
        <v>visitJaisalmer</v>
      </c>
      <c r="J510" s="3">
        <f>IFERROR(__xludf.DUMMYFUNCTION("""COMPUTED_VALUE"""),3455.0)</f>
        <v>3455</v>
      </c>
      <c r="K510" s="3" t="str">
        <f t="shared" ref="K510:L510" si="514">TRIM(F510)</f>
        <v>VfS</v>
      </c>
      <c r="L510" s="3" t="str">
        <f t="shared" si="514"/>
        <v>Google Ads</v>
      </c>
      <c r="M510" s="3" t="str">
        <f t="shared" si="3"/>
        <v>Google Ads</v>
      </c>
      <c r="N510" s="3" t="str">
        <f>IFERROR(__xludf.DUMMYFUNCTION("SPLIT(M510,""&amp;"")"),"Google Ads")</f>
        <v>Google Ads</v>
      </c>
      <c r="O510" s="3" t="str">
        <f t="shared" si="4"/>
        <v>Google Ads</v>
      </c>
      <c r="P510" s="3" t="str">
        <f t="shared" si="5"/>
        <v>visitJaisalmer</v>
      </c>
      <c r="Q510" s="3" t="str">
        <f t="shared" si="6"/>
        <v>Visitjaisalmer</v>
      </c>
      <c r="R510" s="3">
        <f t="shared" si="7"/>
        <v>3455</v>
      </c>
    </row>
    <row r="511">
      <c r="A511" s="7" t="s">
        <v>126</v>
      </c>
      <c r="B511" s="8" t="s">
        <v>20</v>
      </c>
      <c r="C511" s="8">
        <v>51700.0</v>
      </c>
      <c r="E511" s="3" t="str">
        <f>IFERROR(__xludf.DUMMYFUNCTION("SPLIT(A511,""|"")")," VIN/TwiTter/20221216/visitbikaner/5666 ")</f>
        <v> VIN/TwiTter/20221216/visitbikaner/5666 </v>
      </c>
      <c r="F511" s="3" t="str">
        <f>IFERROR(__xludf.DUMMYFUNCTION("SPLIT(E511,""/"")")," VIN")</f>
        <v> VIN</v>
      </c>
      <c r="G511" s="3" t="str">
        <f>IFERROR(__xludf.DUMMYFUNCTION("""COMPUTED_VALUE"""),"TwiTter")</f>
        <v>TwiTter</v>
      </c>
      <c r="H511" s="3">
        <f>IFERROR(__xludf.DUMMYFUNCTION("""COMPUTED_VALUE"""),2.0221216E7)</f>
        <v>20221216</v>
      </c>
      <c r="I511" s="3" t="str">
        <f>IFERROR(__xludf.DUMMYFUNCTION("""COMPUTED_VALUE"""),"visitbikaner")</f>
        <v>visitbikaner</v>
      </c>
      <c r="J511" s="3">
        <f>IFERROR(__xludf.DUMMYFUNCTION("""COMPUTED_VALUE"""),5666.0)</f>
        <v>5666</v>
      </c>
      <c r="K511" s="3" t="str">
        <f t="shared" ref="K511:L511" si="515">TRIM(F511)</f>
        <v>VIN</v>
      </c>
      <c r="L511" s="3" t="str">
        <f t="shared" si="515"/>
        <v>TwiTter</v>
      </c>
      <c r="M511" s="3" t="str">
        <f t="shared" si="3"/>
        <v>Twitter</v>
      </c>
      <c r="N511" s="3" t="str">
        <f>IFERROR(__xludf.DUMMYFUNCTION("SPLIT(M511,""&amp;"")"),"Twitter")</f>
        <v>Twitter</v>
      </c>
      <c r="O511" s="3" t="str">
        <f t="shared" si="4"/>
        <v>Twitter</v>
      </c>
      <c r="P511" s="3" t="str">
        <f t="shared" si="5"/>
        <v>visitbikaner</v>
      </c>
      <c r="Q511" s="3" t="str">
        <f t="shared" si="6"/>
        <v>Visitbikaner</v>
      </c>
      <c r="R511" s="3">
        <f t="shared" si="7"/>
        <v>5666</v>
      </c>
    </row>
    <row r="512">
      <c r="A512" s="7" t="s">
        <v>127</v>
      </c>
      <c r="B512" s="8" t="s">
        <v>20</v>
      </c>
      <c r="C512" s="8">
        <v>80500.0</v>
      </c>
      <c r="E512" s="3" t="str">
        <f>IFERROR(__xludf.DUMMYFUNCTION("SPLIT(A512,""|"")")," NEFT/Facebook/20221219/Visitjaipur/5676 ")</f>
        <v> NEFT/Facebook/20221219/Visitjaipur/5676 </v>
      </c>
      <c r="F512" s="3" t="str">
        <f>IFERROR(__xludf.DUMMYFUNCTION("SPLIT(E512,""/"")")," NEFT")</f>
        <v> NEFT</v>
      </c>
      <c r="G512" s="3" t="str">
        <f>IFERROR(__xludf.DUMMYFUNCTION("""COMPUTED_VALUE"""),"Facebook")</f>
        <v>Facebook</v>
      </c>
      <c r="H512" s="3">
        <f>IFERROR(__xludf.DUMMYFUNCTION("""COMPUTED_VALUE"""),2.0221219E7)</f>
        <v>20221219</v>
      </c>
      <c r="I512" s="3" t="str">
        <f>IFERROR(__xludf.DUMMYFUNCTION("""COMPUTED_VALUE"""),"Visitjaipur")</f>
        <v>Visitjaipur</v>
      </c>
      <c r="J512" s="3">
        <f>IFERROR(__xludf.DUMMYFUNCTION("""COMPUTED_VALUE"""),5676.0)</f>
        <v>5676</v>
      </c>
      <c r="K512" s="3" t="str">
        <f t="shared" ref="K512:L512" si="516">TRIM(F512)</f>
        <v>NEFT</v>
      </c>
      <c r="L512" s="3" t="str">
        <f t="shared" si="516"/>
        <v>Facebook</v>
      </c>
      <c r="M512" s="3" t="str">
        <f t="shared" si="3"/>
        <v>Facebook</v>
      </c>
      <c r="N512" s="3" t="str">
        <f>IFERROR(__xludf.DUMMYFUNCTION("SPLIT(M512,""&amp;"")"),"Facebook")</f>
        <v>Facebook</v>
      </c>
      <c r="O512" s="3" t="str">
        <f t="shared" si="4"/>
        <v>Facebook</v>
      </c>
      <c r="P512" s="3" t="str">
        <f t="shared" si="5"/>
        <v>Visitjaipur</v>
      </c>
      <c r="Q512" s="3" t="str">
        <f t="shared" si="6"/>
        <v>Visitjaipur</v>
      </c>
      <c r="R512" s="3">
        <f t="shared" si="7"/>
        <v>5676</v>
      </c>
    </row>
    <row r="513">
      <c r="A513" s="7" t="s">
        <v>128</v>
      </c>
      <c r="B513" s="8" t="s">
        <v>20</v>
      </c>
      <c r="C513" s="8">
        <v>37600.0</v>
      </c>
      <c r="E513" s="3" t="str">
        <f>IFERROR(__xludf.DUMMYFUNCTION("SPLIT(A513,""|"")")," CHQ/YouTube &amp;/20221222/Visitrajasthan/4564 ")</f>
        <v> CHQ/YouTube &amp;/20221222/Visitrajasthan/4564 </v>
      </c>
      <c r="F513" s="3" t="str">
        <f>IFERROR(__xludf.DUMMYFUNCTION("SPLIT(E513,""/"")")," CHQ")</f>
        <v> CHQ</v>
      </c>
      <c r="G513" s="3" t="str">
        <f>IFERROR(__xludf.DUMMYFUNCTION("""COMPUTED_VALUE"""),"YouTube &amp;")</f>
        <v>YouTube &amp;</v>
      </c>
      <c r="H513" s="3">
        <f>IFERROR(__xludf.DUMMYFUNCTION("""COMPUTED_VALUE"""),2.0221222E7)</f>
        <v>20221222</v>
      </c>
      <c r="I513" s="3" t="str">
        <f>IFERROR(__xludf.DUMMYFUNCTION("""COMPUTED_VALUE"""),"Visitrajasthan")</f>
        <v>Visitrajasthan</v>
      </c>
      <c r="J513" s="3">
        <f>IFERROR(__xludf.DUMMYFUNCTION("""COMPUTED_VALUE"""),4564.0)</f>
        <v>4564</v>
      </c>
      <c r="K513" s="3" t="str">
        <f t="shared" ref="K513:L513" si="517">TRIM(F513)</f>
        <v>CHQ</v>
      </c>
      <c r="L513" s="3" t="str">
        <f t="shared" si="517"/>
        <v>YouTube &amp;</v>
      </c>
      <c r="M513" s="3" t="str">
        <f t="shared" si="3"/>
        <v>Youtube &amp;</v>
      </c>
      <c r="N513" s="3" t="str">
        <f>IFERROR(__xludf.DUMMYFUNCTION("SPLIT(M513,""&amp;"")"),"Youtube ")</f>
        <v>Youtube </v>
      </c>
      <c r="O513" s="3" t="str">
        <f t="shared" si="4"/>
        <v>Youtube</v>
      </c>
      <c r="P513" s="3" t="str">
        <f t="shared" si="5"/>
        <v>Visitrajasthan</v>
      </c>
      <c r="Q513" s="3" t="str">
        <f t="shared" si="6"/>
        <v>Visitrajasthan</v>
      </c>
      <c r="R513" s="3">
        <f t="shared" si="7"/>
        <v>4564</v>
      </c>
    </row>
    <row r="514">
      <c r="A514" s="7" t="s">
        <v>129</v>
      </c>
      <c r="B514" s="8" t="s">
        <v>20</v>
      </c>
      <c r="C514" s="8">
        <v>93400.0</v>
      </c>
      <c r="E514" s="3" t="str">
        <f>IFERROR(__xludf.DUMMYFUNCTION("SPLIT(A514,""|"")")," VfS/Instagram/20221225/visitudaipur/4565 ")</f>
        <v> VfS/Instagram/20221225/visitudaipur/4565 </v>
      </c>
      <c r="F514" s="3" t="str">
        <f>IFERROR(__xludf.DUMMYFUNCTION("SPLIT(E514,""/"")")," VfS")</f>
        <v> VfS</v>
      </c>
      <c r="G514" s="3" t="str">
        <f>IFERROR(__xludf.DUMMYFUNCTION("""COMPUTED_VALUE"""),"Instagram")</f>
        <v>Instagram</v>
      </c>
      <c r="H514" s="3">
        <f>IFERROR(__xludf.DUMMYFUNCTION("""COMPUTED_VALUE"""),2.0221225E7)</f>
        <v>20221225</v>
      </c>
      <c r="I514" s="3" t="str">
        <f>IFERROR(__xludf.DUMMYFUNCTION("""COMPUTED_VALUE"""),"visitudaipur")</f>
        <v>visitudaipur</v>
      </c>
      <c r="J514" s="3">
        <f>IFERROR(__xludf.DUMMYFUNCTION("""COMPUTED_VALUE"""),4565.0)</f>
        <v>4565</v>
      </c>
      <c r="K514" s="3" t="str">
        <f t="shared" ref="K514:L514" si="518">TRIM(F514)</f>
        <v>VfS</v>
      </c>
      <c r="L514" s="3" t="str">
        <f t="shared" si="518"/>
        <v>Instagram</v>
      </c>
      <c r="M514" s="3" t="str">
        <f t="shared" si="3"/>
        <v>Instagram</v>
      </c>
      <c r="N514" s="3" t="str">
        <f>IFERROR(__xludf.DUMMYFUNCTION("SPLIT(M514,""&amp;"")"),"Instagram")</f>
        <v>Instagram</v>
      </c>
      <c r="O514" s="3" t="str">
        <f t="shared" si="4"/>
        <v>Instagram</v>
      </c>
      <c r="P514" s="3" t="str">
        <f t="shared" si="5"/>
        <v>visitudaipur</v>
      </c>
      <c r="Q514" s="3" t="str">
        <f t="shared" si="6"/>
        <v>Visitudaipur</v>
      </c>
      <c r="R514" s="3">
        <f t="shared" si="7"/>
        <v>4565</v>
      </c>
    </row>
    <row r="515">
      <c r="A515" s="7" t="s">
        <v>130</v>
      </c>
      <c r="B515" s="8" t="s">
        <v>20</v>
      </c>
      <c r="C515" s="8">
        <v>47900.0</v>
      </c>
      <c r="E515" s="3" t="str">
        <f>IFERROR(__xludf.DUMMYFUNCTION("SPLIT(A515,""|"")")," VIN/OfflINe &amp;/20221228/Visitjodhpur/4566 ")</f>
        <v> VIN/OfflINe &amp;/20221228/Visitjodhpur/4566 </v>
      </c>
      <c r="F515" s="3" t="str">
        <f>IFERROR(__xludf.DUMMYFUNCTION("SPLIT(E515,""/"")")," VIN")</f>
        <v> VIN</v>
      </c>
      <c r="G515" s="3" t="str">
        <f>IFERROR(__xludf.DUMMYFUNCTION("""COMPUTED_VALUE"""),"OfflINe &amp;")</f>
        <v>OfflINe &amp;</v>
      </c>
      <c r="H515" s="3">
        <f>IFERROR(__xludf.DUMMYFUNCTION("""COMPUTED_VALUE"""),2.0221228E7)</f>
        <v>20221228</v>
      </c>
      <c r="I515" s="3" t="str">
        <f>IFERROR(__xludf.DUMMYFUNCTION("""COMPUTED_VALUE"""),"Visitjodhpur")</f>
        <v>Visitjodhpur</v>
      </c>
      <c r="J515" s="3">
        <f>IFERROR(__xludf.DUMMYFUNCTION("""COMPUTED_VALUE"""),4566.0)</f>
        <v>4566</v>
      </c>
      <c r="K515" s="3" t="str">
        <f t="shared" ref="K515:L515" si="519">TRIM(F515)</f>
        <v>VIN</v>
      </c>
      <c r="L515" s="3" t="str">
        <f t="shared" si="519"/>
        <v>OfflINe &amp;</v>
      </c>
      <c r="M515" s="3" t="str">
        <f t="shared" si="3"/>
        <v>Offline &amp;</v>
      </c>
      <c r="N515" s="3" t="str">
        <f>IFERROR(__xludf.DUMMYFUNCTION("SPLIT(M515,""&amp;"")"),"Offline ")</f>
        <v>Offline </v>
      </c>
      <c r="O515" s="3" t="str">
        <f t="shared" si="4"/>
        <v>Offline</v>
      </c>
      <c r="P515" s="3" t="str">
        <f t="shared" si="5"/>
        <v>Visitjodhpur</v>
      </c>
      <c r="Q515" s="3" t="str">
        <f t="shared" si="6"/>
        <v>Visitjodhpur</v>
      </c>
      <c r="R515" s="3">
        <f t="shared" si="7"/>
        <v>4566</v>
      </c>
    </row>
    <row r="516">
      <c r="A516" s="7" t="s">
        <v>131</v>
      </c>
      <c r="B516" s="8" t="s">
        <v>6</v>
      </c>
      <c r="C516" s="8">
        <v>98600.0</v>
      </c>
      <c r="E516" s="3" t="str">
        <f>IFERROR(__xludf.DUMMYFUNCTION("SPLIT(A516,""|"")")," CHQ/Facebook/20221001/Visitjaipur/5676 ")</f>
        <v> CHQ/Facebook/20221001/Visitjaipur/5676 </v>
      </c>
      <c r="F516" s="3" t="str">
        <f>IFERROR(__xludf.DUMMYFUNCTION("SPLIT(E516,""/"")")," CHQ")</f>
        <v> CHQ</v>
      </c>
      <c r="G516" s="3" t="str">
        <f>IFERROR(__xludf.DUMMYFUNCTION("""COMPUTED_VALUE"""),"Facebook")</f>
        <v>Facebook</v>
      </c>
      <c r="H516" s="3">
        <f>IFERROR(__xludf.DUMMYFUNCTION("""COMPUTED_VALUE"""),2.0221001E7)</f>
        <v>20221001</v>
      </c>
      <c r="I516" s="3" t="str">
        <f>IFERROR(__xludf.DUMMYFUNCTION("""COMPUTED_VALUE"""),"Visitjaipur")</f>
        <v>Visitjaipur</v>
      </c>
      <c r="J516" s="3">
        <f>IFERROR(__xludf.DUMMYFUNCTION("""COMPUTED_VALUE"""),5676.0)</f>
        <v>5676</v>
      </c>
      <c r="K516" s="3" t="str">
        <f t="shared" ref="K516:L516" si="520">TRIM(F516)</f>
        <v>CHQ</v>
      </c>
      <c r="L516" s="3" t="str">
        <f t="shared" si="520"/>
        <v>Facebook</v>
      </c>
      <c r="M516" s="3" t="str">
        <f t="shared" si="3"/>
        <v>Facebook</v>
      </c>
      <c r="N516" s="3" t="str">
        <f>IFERROR(__xludf.DUMMYFUNCTION("SPLIT(M516,""&amp;"")"),"Facebook")</f>
        <v>Facebook</v>
      </c>
      <c r="O516" s="3" t="str">
        <f t="shared" si="4"/>
        <v>Facebook</v>
      </c>
      <c r="P516" s="3" t="str">
        <f t="shared" si="5"/>
        <v>Visitjaipur</v>
      </c>
      <c r="Q516" s="3" t="str">
        <f t="shared" si="6"/>
        <v>Visitjaipur</v>
      </c>
      <c r="R516" s="3">
        <f t="shared" si="7"/>
        <v>5676</v>
      </c>
    </row>
    <row r="517">
      <c r="A517" s="7" t="s">
        <v>132</v>
      </c>
      <c r="B517" s="8" t="s">
        <v>6</v>
      </c>
      <c r="C517" s="8">
        <v>70400.0</v>
      </c>
      <c r="E517" s="3" t="str">
        <f>IFERROR(__xludf.DUMMYFUNCTION("SPLIT(A517,""|"")")," VfS/YouTube/20221004/Visitrajasthan/4564 ")</f>
        <v> VfS/YouTube/20221004/Visitrajasthan/4564 </v>
      </c>
      <c r="F517" s="3" t="str">
        <f>IFERROR(__xludf.DUMMYFUNCTION("SPLIT(E517,""/"")")," VfS")</f>
        <v> VfS</v>
      </c>
      <c r="G517" s="3" t="str">
        <f>IFERROR(__xludf.DUMMYFUNCTION("""COMPUTED_VALUE"""),"YouTube")</f>
        <v>YouTube</v>
      </c>
      <c r="H517" s="3">
        <f>IFERROR(__xludf.DUMMYFUNCTION("""COMPUTED_VALUE"""),2.0221004E7)</f>
        <v>20221004</v>
      </c>
      <c r="I517" s="3" t="str">
        <f>IFERROR(__xludf.DUMMYFUNCTION("""COMPUTED_VALUE"""),"Visitrajasthan")</f>
        <v>Visitrajasthan</v>
      </c>
      <c r="J517" s="3">
        <f>IFERROR(__xludf.DUMMYFUNCTION("""COMPUTED_VALUE"""),4564.0)</f>
        <v>4564</v>
      </c>
      <c r="K517" s="3" t="str">
        <f t="shared" ref="K517:L517" si="521">TRIM(F517)</f>
        <v>VfS</v>
      </c>
      <c r="L517" s="3" t="str">
        <f t="shared" si="521"/>
        <v>YouTube</v>
      </c>
      <c r="M517" s="3" t="str">
        <f t="shared" si="3"/>
        <v>Youtube</v>
      </c>
      <c r="N517" s="3" t="str">
        <f>IFERROR(__xludf.DUMMYFUNCTION("SPLIT(M517,""&amp;"")"),"Youtube")</f>
        <v>Youtube</v>
      </c>
      <c r="O517" s="3" t="str">
        <f t="shared" si="4"/>
        <v>Youtube</v>
      </c>
      <c r="P517" s="3" t="str">
        <f t="shared" si="5"/>
        <v>Visitrajasthan</v>
      </c>
      <c r="Q517" s="3" t="str">
        <f t="shared" si="6"/>
        <v>Visitrajasthan</v>
      </c>
      <c r="R517" s="3">
        <f t="shared" si="7"/>
        <v>4564</v>
      </c>
    </row>
    <row r="518">
      <c r="A518" s="7" t="s">
        <v>133</v>
      </c>
      <c r="B518" s="8" t="s">
        <v>6</v>
      </c>
      <c r="C518" s="8">
        <v>40200.0</v>
      </c>
      <c r="E518" s="3" t="str">
        <f>IFERROR(__xludf.DUMMYFUNCTION("SPLIT(A518,""|"")")," NEFT/Instagram/20221007/visitudaipur/4565 ")</f>
        <v> NEFT/Instagram/20221007/visitudaipur/4565 </v>
      </c>
      <c r="F518" s="3" t="str">
        <f>IFERROR(__xludf.DUMMYFUNCTION("SPLIT(E518,""/"")")," NEFT")</f>
        <v> NEFT</v>
      </c>
      <c r="G518" s="3" t="str">
        <f>IFERROR(__xludf.DUMMYFUNCTION("""COMPUTED_VALUE"""),"Instagram")</f>
        <v>Instagram</v>
      </c>
      <c r="H518" s="3">
        <f>IFERROR(__xludf.DUMMYFUNCTION("""COMPUTED_VALUE"""),2.0221007E7)</f>
        <v>20221007</v>
      </c>
      <c r="I518" s="3" t="str">
        <f>IFERROR(__xludf.DUMMYFUNCTION("""COMPUTED_VALUE"""),"visitudaipur")</f>
        <v>visitudaipur</v>
      </c>
      <c r="J518" s="3">
        <f>IFERROR(__xludf.DUMMYFUNCTION("""COMPUTED_VALUE"""),4565.0)</f>
        <v>4565</v>
      </c>
      <c r="K518" s="3" t="str">
        <f t="shared" ref="K518:L518" si="522">TRIM(F518)</f>
        <v>NEFT</v>
      </c>
      <c r="L518" s="3" t="str">
        <f t="shared" si="522"/>
        <v>Instagram</v>
      </c>
      <c r="M518" s="3" t="str">
        <f t="shared" si="3"/>
        <v>Instagram</v>
      </c>
      <c r="N518" s="3" t="str">
        <f>IFERROR(__xludf.DUMMYFUNCTION("SPLIT(M518,""&amp;"")"),"Instagram")</f>
        <v>Instagram</v>
      </c>
      <c r="O518" s="3" t="str">
        <f t="shared" si="4"/>
        <v>Instagram</v>
      </c>
      <c r="P518" s="3" t="str">
        <f t="shared" si="5"/>
        <v>visitudaipur</v>
      </c>
      <c r="Q518" s="3" t="str">
        <f t="shared" si="6"/>
        <v>Visitudaipur</v>
      </c>
      <c r="R518" s="3">
        <f t="shared" si="7"/>
        <v>4565</v>
      </c>
    </row>
    <row r="519">
      <c r="A519" s="7" t="s">
        <v>134</v>
      </c>
      <c r="B519" s="8" t="s">
        <v>6</v>
      </c>
      <c r="C519" s="8">
        <v>15600.0</v>
      </c>
      <c r="E519" s="3" t="str">
        <f>IFERROR(__xludf.DUMMYFUNCTION("SPLIT(A519,""|"")")," CHQ/Offline &amp;/20221010/Visitjodhpur/4566 ")</f>
        <v> CHQ/Offline &amp;/20221010/Visitjodhpur/4566 </v>
      </c>
      <c r="F519" s="3" t="str">
        <f>IFERROR(__xludf.DUMMYFUNCTION("SPLIT(E519,""/"")")," CHQ")</f>
        <v> CHQ</v>
      </c>
      <c r="G519" s="3" t="str">
        <f>IFERROR(__xludf.DUMMYFUNCTION("""COMPUTED_VALUE"""),"Offline &amp;")</f>
        <v>Offline &amp;</v>
      </c>
      <c r="H519" s="3">
        <f>IFERROR(__xludf.DUMMYFUNCTION("""COMPUTED_VALUE"""),2.022101E7)</f>
        <v>20221010</v>
      </c>
      <c r="I519" s="3" t="str">
        <f>IFERROR(__xludf.DUMMYFUNCTION("""COMPUTED_VALUE"""),"Visitjodhpur")</f>
        <v>Visitjodhpur</v>
      </c>
      <c r="J519" s="3">
        <f>IFERROR(__xludf.DUMMYFUNCTION("""COMPUTED_VALUE"""),4566.0)</f>
        <v>4566</v>
      </c>
      <c r="K519" s="3" t="str">
        <f t="shared" ref="K519:L519" si="523">TRIM(F519)</f>
        <v>CHQ</v>
      </c>
      <c r="L519" s="3" t="str">
        <f t="shared" si="523"/>
        <v>Offline &amp;</v>
      </c>
      <c r="M519" s="3" t="str">
        <f t="shared" si="3"/>
        <v>Offline &amp;</v>
      </c>
      <c r="N519" s="3" t="str">
        <f>IFERROR(__xludf.DUMMYFUNCTION("SPLIT(M519,""&amp;"")"),"Offline ")</f>
        <v>Offline </v>
      </c>
      <c r="O519" s="3" t="str">
        <f t="shared" si="4"/>
        <v>Offline</v>
      </c>
      <c r="P519" s="3" t="str">
        <f t="shared" si="5"/>
        <v>Visitjodhpur</v>
      </c>
      <c r="Q519" s="3" t="str">
        <f t="shared" si="6"/>
        <v>Visitjodhpur</v>
      </c>
      <c r="R519" s="3">
        <f t="shared" si="7"/>
        <v>4566</v>
      </c>
    </row>
    <row r="520">
      <c r="A520" s="7" t="s">
        <v>151</v>
      </c>
      <c r="B520" s="8" t="s">
        <v>6</v>
      </c>
      <c r="C520" s="8">
        <v>42800.0</v>
      </c>
      <c r="E520" s="3" t="str">
        <f>IFERROR(__xludf.DUMMYFUNCTION("SPLIT(A520,""|"")")," VfS/Google Ads/20221013/visitJaisalmer/3455 ")</f>
        <v> VfS/Google Ads/20221013/visitJaisalmer/3455 </v>
      </c>
      <c r="F520" s="3" t="str">
        <f>IFERROR(__xludf.DUMMYFUNCTION("SPLIT(E520,""/"")")," VfS")</f>
        <v> VfS</v>
      </c>
      <c r="G520" s="3" t="str">
        <f>IFERROR(__xludf.DUMMYFUNCTION("""COMPUTED_VALUE"""),"Google Ads")</f>
        <v>Google Ads</v>
      </c>
      <c r="H520" s="3">
        <f>IFERROR(__xludf.DUMMYFUNCTION("""COMPUTED_VALUE"""),2.0221013E7)</f>
        <v>20221013</v>
      </c>
      <c r="I520" s="3" t="str">
        <f>IFERROR(__xludf.DUMMYFUNCTION("""COMPUTED_VALUE"""),"visitJaisalmer")</f>
        <v>visitJaisalmer</v>
      </c>
      <c r="J520" s="3">
        <f>IFERROR(__xludf.DUMMYFUNCTION("""COMPUTED_VALUE"""),3455.0)</f>
        <v>3455</v>
      </c>
      <c r="K520" s="3" t="str">
        <f t="shared" ref="K520:L520" si="524">TRIM(F520)</f>
        <v>VfS</v>
      </c>
      <c r="L520" s="3" t="str">
        <f t="shared" si="524"/>
        <v>Google Ads</v>
      </c>
      <c r="M520" s="3" t="str">
        <f t="shared" si="3"/>
        <v>Google Ads</v>
      </c>
      <c r="N520" s="3" t="str">
        <f>IFERROR(__xludf.DUMMYFUNCTION("SPLIT(M520,""&amp;"")"),"Google Ads")</f>
        <v>Google Ads</v>
      </c>
      <c r="O520" s="3" t="str">
        <f t="shared" si="4"/>
        <v>Google Ads</v>
      </c>
      <c r="P520" s="3" t="str">
        <f t="shared" si="5"/>
        <v>visitJaisalmer</v>
      </c>
      <c r="Q520" s="3" t="str">
        <f t="shared" si="6"/>
        <v>Visitjaisalmer</v>
      </c>
      <c r="R520" s="3">
        <f t="shared" si="7"/>
        <v>3455</v>
      </c>
    </row>
    <row r="521">
      <c r="A521" s="7" t="s">
        <v>136</v>
      </c>
      <c r="B521" s="8" t="s">
        <v>6</v>
      </c>
      <c r="C521" s="8">
        <v>23800.0</v>
      </c>
      <c r="E521" s="3" t="str">
        <f>IFERROR(__xludf.DUMMYFUNCTION("SPLIT(A521,""|"")")," VIN/TwiTter/20221016/visitbikaner/5666 ")</f>
        <v> VIN/TwiTter/20221016/visitbikaner/5666 </v>
      </c>
      <c r="F521" s="3" t="str">
        <f>IFERROR(__xludf.DUMMYFUNCTION("SPLIT(E521,""/"")")," VIN")</f>
        <v> VIN</v>
      </c>
      <c r="G521" s="3" t="str">
        <f>IFERROR(__xludf.DUMMYFUNCTION("""COMPUTED_VALUE"""),"TwiTter")</f>
        <v>TwiTter</v>
      </c>
      <c r="H521" s="3">
        <f>IFERROR(__xludf.DUMMYFUNCTION("""COMPUTED_VALUE"""),2.0221016E7)</f>
        <v>20221016</v>
      </c>
      <c r="I521" s="3" t="str">
        <f>IFERROR(__xludf.DUMMYFUNCTION("""COMPUTED_VALUE"""),"visitbikaner")</f>
        <v>visitbikaner</v>
      </c>
      <c r="J521" s="3">
        <f>IFERROR(__xludf.DUMMYFUNCTION("""COMPUTED_VALUE"""),5666.0)</f>
        <v>5666</v>
      </c>
      <c r="K521" s="3" t="str">
        <f t="shared" ref="K521:L521" si="525">TRIM(F521)</f>
        <v>VIN</v>
      </c>
      <c r="L521" s="3" t="str">
        <f t="shared" si="525"/>
        <v>TwiTter</v>
      </c>
      <c r="M521" s="3" t="str">
        <f t="shared" si="3"/>
        <v>Twitter</v>
      </c>
      <c r="N521" s="3" t="str">
        <f>IFERROR(__xludf.DUMMYFUNCTION("SPLIT(M521,""&amp;"")"),"Twitter")</f>
        <v>Twitter</v>
      </c>
      <c r="O521" s="3" t="str">
        <f t="shared" si="4"/>
        <v>Twitter</v>
      </c>
      <c r="P521" s="3" t="str">
        <f t="shared" si="5"/>
        <v>visitbikaner</v>
      </c>
      <c r="Q521" s="3" t="str">
        <f t="shared" si="6"/>
        <v>Visitbikaner</v>
      </c>
      <c r="R521" s="3">
        <f t="shared" si="7"/>
        <v>5666</v>
      </c>
    </row>
    <row r="522">
      <c r="A522" s="7" t="s">
        <v>137</v>
      </c>
      <c r="B522" s="8" t="s">
        <v>6</v>
      </c>
      <c r="C522" s="8">
        <v>48200.0</v>
      </c>
      <c r="E522" s="3" t="str">
        <f>IFERROR(__xludf.DUMMYFUNCTION("SPLIT(A522,""|"")")," NEFT/Facebook/20221019/Visitjaipur/5676 ")</f>
        <v> NEFT/Facebook/20221019/Visitjaipur/5676 </v>
      </c>
      <c r="F522" s="3" t="str">
        <f>IFERROR(__xludf.DUMMYFUNCTION("SPLIT(E522,""/"")")," NEFT")</f>
        <v> NEFT</v>
      </c>
      <c r="G522" s="3" t="str">
        <f>IFERROR(__xludf.DUMMYFUNCTION("""COMPUTED_VALUE"""),"Facebook")</f>
        <v>Facebook</v>
      </c>
      <c r="H522" s="3">
        <f>IFERROR(__xludf.DUMMYFUNCTION("""COMPUTED_VALUE"""),2.0221019E7)</f>
        <v>20221019</v>
      </c>
      <c r="I522" s="3" t="str">
        <f>IFERROR(__xludf.DUMMYFUNCTION("""COMPUTED_VALUE"""),"Visitjaipur")</f>
        <v>Visitjaipur</v>
      </c>
      <c r="J522" s="3">
        <f>IFERROR(__xludf.DUMMYFUNCTION("""COMPUTED_VALUE"""),5676.0)</f>
        <v>5676</v>
      </c>
      <c r="K522" s="3" t="str">
        <f t="shared" ref="K522:L522" si="526">TRIM(F522)</f>
        <v>NEFT</v>
      </c>
      <c r="L522" s="3" t="str">
        <f t="shared" si="526"/>
        <v>Facebook</v>
      </c>
      <c r="M522" s="3" t="str">
        <f t="shared" si="3"/>
        <v>Facebook</v>
      </c>
      <c r="N522" s="3" t="str">
        <f>IFERROR(__xludf.DUMMYFUNCTION("SPLIT(M522,""&amp;"")"),"Facebook")</f>
        <v>Facebook</v>
      </c>
      <c r="O522" s="3" t="str">
        <f t="shared" si="4"/>
        <v>Facebook</v>
      </c>
      <c r="P522" s="3" t="str">
        <f t="shared" si="5"/>
        <v>Visitjaipur</v>
      </c>
      <c r="Q522" s="3" t="str">
        <f t="shared" si="6"/>
        <v>Visitjaipur</v>
      </c>
      <c r="R522" s="3">
        <f t="shared" si="7"/>
        <v>5676</v>
      </c>
    </row>
    <row r="523">
      <c r="A523" s="7" t="s">
        <v>138</v>
      </c>
      <c r="B523" s="8" t="s">
        <v>6</v>
      </c>
      <c r="C523" s="8">
        <v>24800.0</v>
      </c>
      <c r="E523" s="3" t="str">
        <f>IFERROR(__xludf.DUMMYFUNCTION("SPLIT(A523,""|"")")," CHQ/YouTube &amp;/20221022/Visitrajasthan/4564 ")</f>
        <v> CHQ/YouTube &amp;/20221022/Visitrajasthan/4564 </v>
      </c>
      <c r="F523" s="3" t="str">
        <f>IFERROR(__xludf.DUMMYFUNCTION("SPLIT(E523,""/"")")," CHQ")</f>
        <v> CHQ</v>
      </c>
      <c r="G523" s="3" t="str">
        <f>IFERROR(__xludf.DUMMYFUNCTION("""COMPUTED_VALUE"""),"YouTube &amp;")</f>
        <v>YouTube &amp;</v>
      </c>
      <c r="H523" s="3">
        <f>IFERROR(__xludf.DUMMYFUNCTION("""COMPUTED_VALUE"""),2.0221022E7)</f>
        <v>20221022</v>
      </c>
      <c r="I523" s="3" t="str">
        <f>IFERROR(__xludf.DUMMYFUNCTION("""COMPUTED_VALUE"""),"Visitrajasthan")</f>
        <v>Visitrajasthan</v>
      </c>
      <c r="J523" s="3">
        <f>IFERROR(__xludf.DUMMYFUNCTION("""COMPUTED_VALUE"""),4564.0)</f>
        <v>4564</v>
      </c>
      <c r="K523" s="3" t="str">
        <f t="shared" ref="K523:L523" si="527">TRIM(F523)</f>
        <v>CHQ</v>
      </c>
      <c r="L523" s="3" t="str">
        <f t="shared" si="527"/>
        <v>YouTube &amp;</v>
      </c>
      <c r="M523" s="3" t="str">
        <f t="shared" si="3"/>
        <v>Youtube &amp;</v>
      </c>
      <c r="N523" s="3" t="str">
        <f>IFERROR(__xludf.DUMMYFUNCTION("SPLIT(M523,""&amp;"")"),"Youtube ")</f>
        <v>Youtube </v>
      </c>
      <c r="O523" s="3" t="str">
        <f t="shared" si="4"/>
        <v>Youtube</v>
      </c>
      <c r="P523" s="3" t="str">
        <f t="shared" si="5"/>
        <v>Visitrajasthan</v>
      </c>
      <c r="Q523" s="3" t="str">
        <f t="shared" si="6"/>
        <v>Visitrajasthan</v>
      </c>
      <c r="R523" s="3">
        <f t="shared" si="7"/>
        <v>4564</v>
      </c>
    </row>
    <row r="524">
      <c r="A524" s="7" t="s">
        <v>139</v>
      </c>
      <c r="B524" s="8" t="s">
        <v>6</v>
      </c>
      <c r="C524" s="8">
        <v>21300.0</v>
      </c>
      <c r="E524" s="3" t="str">
        <f>IFERROR(__xludf.DUMMYFUNCTION("SPLIT(A524,""|"")")," VfS/Instagram/20221025/visitudaipur/4565 ")</f>
        <v> VfS/Instagram/20221025/visitudaipur/4565 </v>
      </c>
      <c r="F524" s="3" t="str">
        <f>IFERROR(__xludf.DUMMYFUNCTION("SPLIT(E524,""/"")")," VfS")</f>
        <v> VfS</v>
      </c>
      <c r="G524" s="3" t="str">
        <f>IFERROR(__xludf.DUMMYFUNCTION("""COMPUTED_VALUE"""),"Instagram")</f>
        <v>Instagram</v>
      </c>
      <c r="H524" s="3">
        <f>IFERROR(__xludf.DUMMYFUNCTION("""COMPUTED_VALUE"""),2.0221025E7)</f>
        <v>20221025</v>
      </c>
      <c r="I524" s="3" t="str">
        <f>IFERROR(__xludf.DUMMYFUNCTION("""COMPUTED_VALUE"""),"visitudaipur")</f>
        <v>visitudaipur</v>
      </c>
      <c r="J524" s="3">
        <f>IFERROR(__xludf.DUMMYFUNCTION("""COMPUTED_VALUE"""),4565.0)</f>
        <v>4565</v>
      </c>
      <c r="K524" s="3" t="str">
        <f t="shared" ref="K524:L524" si="528">TRIM(F524)</f>
        <v>VfS</v>
      </c>
      <c r="L524" s="3" t="str">
        <f t="shared" si="528"/>
        <v>Instagram</v>
      </c>
      <c r="M524" s="3" t="str">
        <f t="shared" si="3"/>
        <v>Instagram</v>
      </c>
      <c r="N524" s="3" t="str">
        <f>IFERROR(__xludf.DUMMYFUNCTION("SPLIT(M524,""&amp;"")"),"Instagram")</f>
        <v>Instagram</v>
      </c>
      <c r="O524" s="3" t="str">
        <f t="shared" si="4"/>
        <v>Instagram</v>
      </c>
      <c r="P524" s="3" t="str">
        <f t="shared" si="5"/>
        <v>visitudaipur</v>
      </c>
      <c r="Q524" s="3" t="str">
        <f t="shared" si="6"/>
        <v>Visitudaipur</v>
      </c>
      <c r="R524" s="3">
        <f t="shared" si="7"/>
        <v>4565</v>
      </c>
    </row>
    <row r="525">
      <c r="A525" s="7" t="s">
        <v>140</v>
      </c>
      <c r="B525" s="8" t="s">
        <v>6</v>
      </c>
      <c r="C525" s="8">
        <v>31400.0</v>
      </c>
      <c r="E525" s="3" t="str">
        <f>IFERROR(__xludf.DUMMYFUNCTION("SPLIT(A525,""|"")")," VIN/OfflINe &amp;/20221028/Visitjodhpur/4566 ")</f>
        <v> VIN/OfflINe &amp;/20221028/Visitjodhpur/4566 </v>
      </c>
      <c r="F525" s="3" t="str">
        <f>IFERROR(__xludf.DUMMYFUNCTION("SPLIT(E525,""/"")")," VIN")</f>
        <v> VIN</v>
      </c>
      <c r="G525" s="3" t="str">
        <f>IFERROR(__xludf.DUMMYFUNCTION("""COMPUTED_VALUE"""),"OfflINe &amp;")</f>
        <v>OfflINe &amp;</v>
      </c>
      <c r="H525" s="3">
        <f>IFERROR(__xludf.DUMMYFUNCTION("""COMPUTED_VALUE"""),2.0221028E7)</f>
        <v>20221028</v>
      </c>
      <c r="I525" s="3" t="str">
        <f>IFERROR(__xludf.DUMMYFUNCTION("""COMPUTED_VALUE"""),"Visitjodhpur")</f>
        <v>Visitjodhpur</v>
      </c>
      <c r="J525" s="3">
        <f>IFERROR(__xludf.DUMMYFUNCTION("""COMPUTED_VALUE"""),4566.0)</f>
        <v>4566</v>
      </c>
      <c r="K525" s="3" t="str">
        <f t="shared" ref="K525:L525" si="529">TRIM(F525)</f>
        <v>VIN</v>
      </c>
      <c r="L525" s="3" t="str">
        <f t="shared" si="529"/>
        <v>OfflINe &amp;</v>
      </c>
      <c r="M525" s="3" t="str">
        <f t="shared" si="3"/>
        <v>Offline &amp;</v>
      </c>
      <c r="N525" s="3" t="str">
        <f>IFERROR(__xludf.DUMMYFUNCTION("SPLIT(M525,""&amp;"")"),"Offline ")</f>
        <v>Offline </v>
      </c>
      <c r="O525" s="3" t="str">
        <f t="shared" si="4"/>
        <v>Offline</v>
      </c>
      <c r="P525" s="3" t="str">
        <f t="shared" si="5"/>
        <v>Visitjodhpur</v>
      </c>
      <c r="Q525" s="3" t="str">
        <f t="shared" si="6"/>
        <v>Visitjodhpur</v>
      </c>
      <c r="R525" s="3">
        <f t="shared" si="7"/>
        <v>4566</v>
      </c>
    </row>
    <row r="526">
      <c r="A526" s="7" t="s">
        <v>141</v>
      </c>
      <c r="B526" s="8" t="s">
        <v>19</v>
      </c>
      <c r="C526" s="8">
        <v>16100.0</v>
      </c>
      <c r="E526" s="3" t="str">
        <f>IFERROR(__xludf.DUMMYFUNCTION("SPLIT(A526,""|"")")," CHQ/Facebook/20221101/Visitjaipur/5676 ")</f>
        <v> CHQ/Facebook/20221101/Visitjaipur/5676 </v>
      </c>
      <c r="F526" s="3" t="str">
        <f>IFERROR(__xludf.DUMMYFUNCTION("SPLIT(E526,""/"")")," CHQ")</f>
        <v> CHQ</v>
      </c>
      <c r="G526" s="3" t="str">
        <f>IFERROR(__xludf.DUMMYFUNCTION("""COMPUTED_VALUE"""),"Facebook")</f>
        <v>Facebook</v>
      </c>
      <c r="H526" s="3">
        <f>IFERROR(__xludf.DUMMYFUNCTION("""COMPUTED_VALUE"""),2.0221101E7)</f>
        <v>20221101</v>
      </c>
      <c r="I526" s="3" t="str">
        <f>IFERROR(__xludf.DUMMYFUNCTION("""COMPUTED_VALUE"""),"Visitjaipur")</f>
        <v>Visitjaipur</v>
      </c>
      <c r="J526" s="3">
        <f>IFERROR(__xludf.DUMMYFUNCTION("""COMPUTED_VALUE"""),5676.0)</f>
        <v>5676</v>
      </c>
      <c r="K526" s="3" t="str">
        <f t="shared" ref="K526:L526" si="530">TRIM(F526)</f>
        <v>CHQ</v>
      </c>
      <c r="L526" s="3" t="str">
        <f t="shared" si="530"/>
        <v>Facebook</v>
      </c>
      <c r="M526" s="3" t="str">
        <f t="shared" si="3"/>
        <v>Facebook</v>
      </c>
      <c r="N526" s="3" t="str">
        <f>IFERROR(__xludf.DUMMYFUNCTION("SPLIT(M526,""&amp;"")"),"Facebook")</f>
        <v>Facebook</v>
      </c>
      <c r="O526" s="3" t="str">
        <f t="shared" si="4"/>
        <v>Facebook</v>
      </c>
      <c r="P526" s="3" t="str">
        <f t="shared" si="5"/>
        <v>Visitjaipur</v>
      </c>
      <c r="Q526" s="3" t="str">
        <f t="shared" si="6"/>
        <v>Visitjaipur</v>
      </c>
      <c r="R526" s="3">
        <f t="shared" si="7"/>
        <v>5676</v>
      </c>
    </row>
    <row r="527">
      <c r="A527" s="7" t="s">
        <v>142</v>
      </c>
      <c r="B527" s="8" t="s">
        <v>19</v>
      </c>
      <c r="C527" s="8">
        <v>84300.0</v>
      </c>
      <c r="E527" s="3" t="str">
        <f>IFERROR(__xludf.DUMMYFUNCTION("SPLIT(A527,""|"")")," VfS/YouTube/20221104/Visitrajasthan/4564 ")</f>
        <v> VfS/YouTube/20221104/Visitrajasthan/4564 </v>
      </c>
      <c r="F527" s="3" t="str">
        <f>IFERROR(__xludf.DUMMYFUNCTION("SPLIT(E527,""/"")")," VfS")</f>
        <v> VfS</v>
      </c>
      <c r="G527" s="3" t="str">
        <f>IFERROR(__xludf.DUMMYFUNCTION("""COMPUTED_VALUE"""),"YouTube")</f>
        <v>YouTube</v>
      </c>
      <c r="H527" s="3">
        <f>IFERROR(__xludf.DUMMYFUNCTION("""COMPUTED_VALUE"""),2.0221104E7)</f>
        <v>20221104</v>
      </c>
      <c r="I527" s="3" t="str">
        <f>IFERROR(__xludf.DUMMYFUNCTION("""COMPUTED_VALUE"""),"Visitrajasthan")</f>
        <v>Visitrajasthan</v>
      </c>
      <c r="J527" s="3">
        <f>IFERROR(__xludf.DUMMYFUNCTION("""COMPUTED_VALUE"""),4564.0)</f>
        <v>4564</v>
      </c>
      <c r="K527" s="3" t="str">
        <f t="shared" ref="K527:L527" si="531">TRIM(F527)</f>
        <v>VfS</v>
      </c>
      <c r="L527" s="3" t="str">
        <f t="shared" si="531"/>
        <v>YouTube</v>
      </c>
      <c r="M527" s="3" t="str">
        <f t="shared" si="3"/>
        <v>Youtube</v>
      </c>
      <c r="N527" s="3" t="str">
        <f>IFERROR(__xludf.DUMMYFUNCTION("SPLIT(M527,""&amp;"")"),"Youtube")</f>
        <v>Youtube</v>
      </c>
      <c r="O527" s="3" t="str">
        <f t="shared" si="4"/>
        <v>Youtube</v>
      </c>
      <c r="P527" s="3" t="str">
        <f t="shared" si="5"/>
        <v>Visitrajasthan</v>
      </c>
      <c r="Q527" s="3" t="str">
        <f t="shared" si="6"/>
        <v>Visitrajasthan</v>
      </c>
      <c r="R527" s="3">
        <f t="shared" si="7"/>
        <v>4564</v>
      </c>
    </row>
    <row r="528">
      <c r="A528" s="7" t="s">
        <v>143</v>
      </c>
      <c r="B528" s="8" t="s">
        <v>19</v>
      </c>
      <c r="C528" s="8">
        <v>22500.0</v>
      </c>
      <c r="E528" s="3" t="str">
        <f>IFERROR(__xludf.DUMMYFUNCTION("SPLIT(A528,""|"")")," NEFT/Instagram/20221107/visitudaipur/4565 ")</f>
        <v> NEFT/Instagram/20221107/visitudaipur/4565 </v>
      </c>
      <c r="F528" s="3" t="str">
        <f>IFERROR(__xludf.DUMMYFUNCTION("SPLIT(E528,""/"")")," NEFT")</f>
        <v> NEFT</v>
      </c>
      <c r="G528" s="3" t="str">
        <f>IFERROR(__xludf.DUMMYFUNCTION("""COMPUTED_VALUE"""),"Instagram")</f>
        <v>Instagram</v>
      </c>
      <c r="H528" s="3">
        <f>IFERROR(__xludf.DUMMYFUNCTION("""COMPUTED_VALUE"""),2.0221107E7)</f>
        <v>20221107</v>
      </c>
      <c r="I528" s="3" t="str">
        <f>IFERROR(__xludf.DUMMYFUNCTION("""COMPUTED_VALUE"""),"visitudaipur")</f>
        <v>visitudaipur</v>
      </c>
      <c r="J528" s="3">
        <f>IFERROR(__xludf.DUMMYFUNCTION("""COMPUTED_VALUE"""),4565.0)</f>
        <v>4565</v>
      </c>
      <c r="K528" s="3" t="str">
        <f t="shared" ref="K528:L528" si="532">TRIM(F528)</f>
        <v>NEFT</v>
      </c>
      <c r="L528" s="3" t="str">
        <f t="shared" si="532"/>
        <v>Instagram</v>
      </c>
      <c r="M528" s="3" t="str">
        <f t="shared" si="3"/>
        <v>Instagram</v>
      </c>
      <c r="N528" s="3" t="str">
        <f>IFERROR(__xludf.DUMMYFUNCTION("SPLIT(M528,""&amp;"")"),"Instagram")</f>
        <v>Instagram</v>
      </c>
      <c r="O528" s="3" t="str">
        <f t="shared" si="4"/>
        <v>Instagram</v>
      </c>
      <c r="P528" s="3" t="str">
        <f t="shared" si="5"/>
        <v>visitudaipur</v>
      </c>
      <c r="Q528" s="3" t="str">
        <f t="shared" si="6"/>
        <v>Visitudaipur</v>
      </c>
      <c r="R528" s="3">
        <f t="shared" si="7"/>
        <v>4565</v>
      </c>
    </row>
    <row r="529">
      <c r="A529" s="7" t="s">
        <v>144</v>
      </c>
      <c r="B529" s="8" t="s">
        <v>19</v>
      </c>
      <c r="C529" s="8">
        <v>15700.0</v>
      </c>
      <c r="E529" s="3" t="str">
        <f>IFERROR(__xludf.DUMMYFUNCTION("SPLIT(A529,""|"")")," CHQ/Offline &amp;/20221110/Visitjodhpur/4566 ")</f>
        <v> CHQ/Offline &amp;/20221110/Visitjodhpur/4566 </v>
      </c>
      <c r="F529" s="3" t="str">
        <f>IFERROR(__xludf.DUMMYFUNCTION("SPLIT(E529,""/"")")," CHQ")</f>
        <v> CHQ</v>
      </c>
      <c r="G529" s="3" t="str">
        <f>IFERROR(__xludf.DUMMYFUNCTION("""COMPUTED_VALUE"""),"Offline &amp;")</f>
        <v>Offline &amp;</v>
      </c>
      <c r="H529" s="3">
        <f>IFERROR(__xludf.DUMMYFUNCTION("""COMPUTED_VALUE"""),2.022111E7)</f>
        <v>20221110</v>
      </c>
      <c r="I529" s="3" t="str">
        <f>IFERROR(__xludf.DUMMYFUNCTION("""COMPUTED_VALUE"""),"Visitjodhpur")</f>
        <v>Visitjodhpur</v>
      </c>
      <c r="J529" s="3">
        <f>IFERROR(__xludf.DUMMYFUNCTION("""COMPUTED_VALUE"""),4566.0)</f>
        <v>4566</v>
      </c>
      <c r="K529" s="3" t="str">
        <f t="shared" ref="K529:L529" si="533">TRIM(F529)</f>
        <v>CHQ</v>
      </c>
      <c r="L529" s="3" t="str">
        <f t="shared" si="533"/>
        <v>Offline &amp;</v>
      </c>
      <c r="M529" s="3" t="str">
        <f t="shared" si="3"/>
        <v>Offline &amp;</v>
      </c>
      <c r="N529" s="3" t="str">
        <f>IFERROR(__xludf.DUMMYFUNCTION("SPLIT(M529,""&amp;"")"),"Offline ")</f>
        <v>Offline </v>
      </c>
      <c r="O529" s="3" t="str">
        <f t="shared" si="4"/>
        <v>Offline</v>
      </c>
      <c r="P529" s="3" t="str">
        <f t="shared" si="5"/>
        <v>Visitjodhpur</v>
      </c>
      <c r="Q529" s="3" t="str">
        <f t="shared" si="6"/>
        <v>Visitjodhpur</v>
      </c>
      <c r="R529" s="3">
        <f t="shared" si="7"/>
        <v>4566</v>
      </c>
    </row>
    <row r="530">
      <c r="A530" s="7" t="s">
        <v>145</v>
      </c>
      <c r="B530" s="8" t="s">
        <v>19</v>
      </c>
      <c r="C530" s="8">
        <v>85600.0</v>
      </c>
      <c r="E530" s="3" t="str">
        <f>IFERROR(__xludf.DUMMYFUNCTION("SPLIT(A530,""|"")")," VfS/Google Ads/20221113/visitJaisalmer/3455 ")</f>
        <v> VfS/Google Ads/20221113/visitJaisalmer/3455 </v>
      </c>
      <c r="F530" s="3" t="str">
        <f>IFERROR(__xludf.DUMMYFUNCTION("SPLIT(E530,""/"")")," VfS")</f>
        <v> VfS</v>
      </c>
      <c r="G530" s="3" t="str">
        <f>IFERROR(__xludf.DUMMYFUNCTION("""COMPUTED_VALUE"""),"Google Ads")</f>
        <v>Google Ads</v>
      </c>
      <c r="H530" s="3">
        <f>IFERROR(__xludf.DUMMYFUNCTION("""COMPUTED_VALUE"""),2.0221113E7)</f>
        <v>20221113</v>
      </c>
      <c r="I530" s="3" t="str">
        <f>IFERROR(__xludf.DUMMYFUNCTION("""COMPUTED_VALUE"""),"visitJaisalmer")</f>
        <v>visitJaisalmer</v>
      </c>
      <c r="J530" s="3">
        <f>IFERROR(__xludf.DUMMYFUNCTION("""COMPUTED_VALUE"""),3455.0)</f>
        <v>3455</v>
      </c>
      <c r="K530" s="3" t="str">
        <f t="shared" ref="K530:L530" si="534">TRIM(F530)</f>
        <v>VfS</v>
      </c>
      <c r="L530" s="3" t="str">
        <f t="shared" si="534"/>
        <v>Google Ads</v>
      </c>
      <c r="M530" s="3" t="str">
        <f t="shared" si="3"/>
        <v>Google Ads</v>
      </c>
      <c r="N530" s="3" t="str">
        <f>IFERROR(__xludf.DUMMYFUNCTION("SPLIT(M530,""&amp;"")"),"Google Ads")</f>
        <v>Google Ads</v>
      </c>
      <c r="O530" s="3" t="str">
        <f t="shared" si="4"/>
        <v>Google Ads</v>
      </c>
      <c r="P530" s="3" t="str">
        <f t="shared" si="5"/>
        <v>visitJaisalmer</v>
      </c>
      <c r="Q530" s="3" t="str">
        <f t="shared" si="6"/>
        <v>Visitjaisalmer</v>
      </c>
      <c r="R530" s="3">
        <f t="shared" si="7"/>
        <v>3455</v>
      </c>
    </row>
    <row r="531">
      <c r="A531" s="7" t="s">
        <v>146</v>
      </c>
      <c r="B531" s="8" t="s">
        <v>19</v>
      </c>
      <c r="C531" s="8">
        <v>29800.0</v>
      </c>
      <c r="E531" s="3" t="str">
        <f>IFERROR(__xludf.DUMMYFUNCTION("SPLIT(A531,""|"")")," VIN/TwiTter/20221116/visitbikaner/5666 ")</f>
        <v> VIN/TwiTter/20221116/visitbikaner/5666 </v>
      </c>
      <c r="F531" s="3" t="str">
        <f>IFERROR(__xludf.DUMMYFUNCTION("SPLIT(E531,""/"")")," VIN")</f>
        <v> VIN</v>
      </c>
      <c r="G531" s="3" t="str">
        <f>IFERROR(__xludf.DUMMYFUNCTION("""COMPUTED_VALUE"""),"TwiTter")</f>
        <v>TwiTter</v>
      </c>
      <c r="H531" s="3">
        <f>IFERROR(__xludf.DUMMYFUNCTION("""COMPUTED_VALUE"""),2.0221116E7)</f>
        <v>20221116</v>
      </c>
      <c r="I531" s="3" t="str">
        <f>IFERROR(__xludf.DUMMYFUNCTION("""COMPUTED_VALUE"""),"visitbikaner")</f>
        <v>visitbikaner</v>
      </c>
      <c r="J531" s="3">
        <f>IFERROR(__xludf.DUMMYFUNCTION("""COMPUTED_VALUE"""),5666.0)</f>
        <v>5666</v>
      </c>
      <c r="K531" s="3" t="str">
        <f t="shared" ref="K531:L531" si="535">TRIM(F531)</f>
        <v>VIN</v>
      </c>
      <c r="L531" s="3" t="str">
        <f t="shared" si="535"/>
        <v>TwiTter</v>
      </c>
      <c r="M531" s="3" t="str">
        <f t="shared" si="3"/>
        <v>Twitter</v>
      </c>
      <c r="N531" s="3" t="str">
        <f>IFERROR(__xludf.DUMMYFUNCTION("SPLIT(M531,""&amp;"")"),"Twitter")</f>
        <v>Twitter</v>
      </c>
      <c r="O531" s="3" t="str">
        <f t="shared" si="4"/>
        <v>Twitter</v>
      </c>
      <c r="P531" s="3" t="str">
        <f t="shared" si="5"/>
        <v>visitbikaner</v>
      </c>
      <c r="Q531" s="3" t="str">
        <f t="shared" si="6"/>
        <v>Visitbikaner</v>
      </c>
      <c r="R531" s="3">
        <f t="shared" si="7"/>
        <v>5666</v>
      </c>
    </row>
    <row r="532">
      <c r="A532" s="7" t="s">
        <v>147</v>
      </c>
      <c r="B532" s="8" t="s">
        <v>19</v>
      </c>
      <c r="C532" s="8">
        <v>21800.0</v>
      </c>
      <c r="E532" s="3" t="str">
        <f>IFERROR(__xludf.DUMMYFUNCTION("SPLIT(A532,""|"")")," NEFT/Facebook/20221119/Visitjaipur/5676 ")</f>
        <v> NEFT/Facebook/20221119/Visitjaipur/5676 </v>
      </c>
      <c r="F532" s="3" t="str">
        <f>IFERROR(__xludf.DUMMYFUNCTION("SPLIT(E532,""/"")")," NEFT")</f>
        <v> NEFT</v>
      </c>
      <c r="G532" s="3" t="str">
        <f>IFERROR(__xludf.DUMMYFUNCTION("""COMPUTED_VALUE"""),"Facebook")</f>
        <v>Facebook</v>
      </c>
      <c r="H532" s="3">
        <f>IFERROR(__xludf.DUMMYFUNCTION("""COMPUTED_VALUE"""),2.0221119E7)</f>
        <v>20221119</v>
      </c>
      <c r="I532" s="3" t="str">
        <f>IFERROR(__xludf.DUMMYFUNCTION("""COMPUTED_VALUE"""),"Visitjaipur")</f>
        <v>Visitjaipur</v>
      </c>
      <c r="J532" s="3">
        <f>IFERROR(__xludf.DUMMYFUNCTION("""COMPUTED_VALUE"""),5676.0)</f>
        <v>5676</v>
      </c>
      <c r="K532" s="3" t="str">
        <f t="shared" ref="K532:L532" si="536">TRIM(F532)</f>
        <v>NEFT</v>
      </c>
      <c r="L532" s="3" t="str">
        <f t="shared" si="536"/>
        <v>Facebook</v>
      </c>
      <c r="M532" s="3" t="str">
        <f t="shared" si="3"/>
        <v>Facebook</v>
      </c>
      <c r="N532" s="3" t="str">
        <f>IFERROR(__xludf.DUMMYFUNCTION("SPLIT(M532,""&amp;"")"),"Facebook")</f>
        <v>Facebook</v>
      </c>
      <c r="O532" s="3" t="str">
        <f t="shared" si="4"/>
        <v>Facebook</v>
      </c>
      <c r="P532" s="3" t="str">
        <f t="shared" si="5"/>
        <v>Visitjaipur</v>
      </c>
      <c r="Q532" s="3" t="str">
        <f t="shared" si="6"/>
        <v>Visitjaipur</v>
      </c>
      <c r="R532" s="3">
        <f t="shared" si="7"/>
        <v>5676</v>
      </c>
    </row>
    <row r="533">
      <c r="A533" s="7" t="s">
        <v>148</v>
      </c>
      <c r="B533" s="8" t="s">
        <v>19</v>
      </c>
      <c r="C533" s="8">
        <v>59900.0</v>
      </c>
      <c r="E533" s="3" t="str">
        <f>IFERROR(__xludf.DUMMYFUNCTION("SPLIT(A533,""|"")")," CHQ/YouTube &amp;/20221122/Visitrajasthan/4564 ")</f>
        <v> CHQ/YouTube &amp;/20221122/Visitrajasthan/4564 </v>
      </c>
      <c r="F533" s="3" t="str">
        <f>IFERROR(__xludf.DUMMYFUNCTION("SPLIT(E533,""/"")")," CHQ")</f>
        <v> CHQ</v>
      </c>
      <c r="G533" s="3" t="str">
        <f>IFERROR(__xludf.DUMMYFUNCTION("""COMPUTED_VALUE"""),"YouTube &amp;")</f>
        <v>YouTube &amp;</v>
      </c>
      <c r="H533" s="3">
        <f>IFERROR(__xludf.DUMMYFUNCTION("""COMPUTED_VALUE"""),2.0221122E7)</f>
        <v>20221122</v>
      </c>
      <c r="I533" s="3" t="str">
        <f>IFERROR(__xludf.DUMMYFUNCTION("""COMPUTED_VALUE"""),"Visitrajasthan")</f>
        <v>Visitrajasthan</v>
      </c>
      <c r="J533" s="3">
        <f>IFERROR(__xludf.DUMMYFUNCTION("""COMPUTED_VALUE"""),4564.0)</f>
        <v>4564</v>
      </c>
      <c r="K533" s="3" t="str">
        <f t="shared" ref="K533:L533" si="537">TRIM(F533)</f>
        <v>CHQ</v>
      </c>
      <c r="L533" s="3" t="str">
        <f t="shared" si="537"/>
        <v>YouTube &amp;</v>
      </c>
      <c r="M533" s="3" t="str">
        <f t="shared" si="3"/>
        <v>Youtube &amp;</v>
      </c>
      <c r="N533" s="3" t="str">
        <f>IFERROR(__xludf.DUMMYFUNCTION("SPLIT(M533,""&amp;"")"),"Youtube ")</f>
        <v>Youtube </v>
      </c>
      <c r="O533" s="3" t="str">
        <f t="shared" si="4"/>
        <v>Youtube</v>
      </c>
      <c r="P533" s="3" t="str">
        <f t="shared" si="5"/>
        <v>Visitrajasthan</v>
      </c>
      <c r="Q533" s="3" t="str">
        <f t="shared" si="6"/>
        <v>Visitrajasthan</v>
      </c>
      <c r="R533" s="3">
        <f t="shared" si="7"/>
        <v>4564</v>
      </c>
    </row>
    <row r="534">
      <c r="A534" s="7" t="s">
        <v>149</v>
      </c>
      <c r="B534" s="8" t="s">
        <v>19</v>
      </c>
      <c r="C534" s="8">
        <v>95900.0</v>
      </c>
      <c r="E534" s="3" t="str">
        <f>IFERROR(__xludf.DUMMYFUNCTION("SPLIT(A534,""|"")")," VfS/Instagram/20221125/visitudaipur/4565 ")</f>
        <v> VfS/Instagram/20221125/visitudaipur/4565 </v>
      </c>
      <c r="F534" s="3" t="str">
        <f>IFERROR(__xludf.DUMMYFUNCTION("SPLIT(E534,""/"")")," VfS")</f>
        <v> VfS</v>
      </c>
      <c r="G534" s="3" t="str">
        <f>IFERROR(__xludf.DUMMYFUNCTION("""COMPUTED_VALUE"""),"Instagram")</f>
        <v>Instagram</v>
      </c>
      <c r="H534" s="3">
        <f>IFERROR(__xludf.DUMMYFUNCTION("""COMPUTED_VALUE"""),2.0221125E7)</f>
        <v>20221125</v>
      </c>
      <c r="I534" s="3" t="str">
        <f>IFERROR(__xludf.DUMMYFUNCTION("""COMPUTED_VALUE"""),"visitudaipur")</f>
        <v>visitudaipur</v>
      </c>
      <c r="J534" s="3">
        <f>IFERROR(__xludf.DUMMYFUNCTION("""COMPUTED_VALUE"""),4565.0)</f>
        <v>4565</v>
      </c>
      <c r="K534" s="3" t="str">
        <f t="shared" ref="K534:L534" si="538">TRIM(F534)</f>
        <v>VfS</v>
      </c>
      <c r="L534" s="3" t="str">
        <f t="shared" si="538"/>
        <v>Instagram</v>
      </c>
      <c r="M534" s="3" t="str">
        <f t="shared" si="3"/>
        <v>Instagram</v>
      </c>
      <c r="N534" s="3" t="str">
        <f>IFERROR(__xludf.DUMMYFUNCTION("SPLIT(M534,""&amp;"")"),"Instagram")</f>
        <v>Instagram</v>
      </c>
      <c r="O534" s="3" t="str">
        <f t="shared" si="4"/>
        <v>Instagram</v>
      </c>
      <c r="P534" s="3" t="str">
        <f t="shared" si="5"/>
        <v>visitudaipur</v>
      </c>
      <c r="Q534" s="3" t="str">
        <f t="shared" si="6"/>
        <v>Visitudaipur</v>
      </c>
      <c r="R534" s="3">
        <f t="shared" si="7"/>
        <v>4565</v>
      </c>
    </row>
    <row r="535">
      <c r="A535" s="7" t="s">
        <v>150</v>
      </c>
      <c r="B535" s="8" t="s">
        <v>19</v>
      </c>
      <c r="C535" s="8">
        <v>97400.0</v>
      </c>
      <c r="E535" s="3" t="str">
        <f>IFERROR(__xludf.DUMMYFUNCTION("SPLIT(A535,""|"")")," VIN/OfflINe &amp;/20221128/Visitjodhpur/4566 ")</f>
        <v> VIN/OfflINe &amp;/20221128/Visitjodhpur/4566 </v>
      </c>
      <c r="F535" s="3" t="str">
        <f>IFERROR(__xludf.DUMMYFUNCTION("SPLIT(E535,""/"")")," VIN")</f>
        <v> VIN</v>
      </c>
      <c r="G535" s="3" t="str">
        <f>IFERROR(__xludf.DUMMYFUNCTION("""COMPUTED_VALUE"""),"OfflINe &amp;")</f>
        <v>OfflINe &amp;</v>
      </c>
      <c r="H535" s="3">
        <f>IFERROR(__xludf.DUMMYFUNCTION("""COMPUTED_VALUE"""),2.0221128E7)</f>
        <v>20221128</v>
      </c>
      <c r="I535" s="3" t="str">
        <f>IFERROR(__xludf.DUMMYFUNCTION("""COMPUTED_VALUE"""),"Visitjodhpur")</f>
        <v>Visitjodhpur</v>
      </c>
      <c r="J535" s="3">
        <f>IFERROR(__xludf.DUMMYFUNCTION("""COMPUTED_VALUE"""),4566.0)</f>
        <v>4566</v>
      </c>
      <c r="K535" s="3" t="str">
        <f t="shared" ref="K535:L535" si="539">TRIM(F535)</f>
        <v>VIN</v>
      </c>
      <c r="L535" s="3" t="str">
        <f t="shared" si="539"/>
        <v>OfflINe &amp;</v>
      </c>
      <c r="M535" s="3" t="str">
        <f t="shared" si="3"/>
        <v>Offline &amp;</v>
      </c>
      <c r="N535" s="3" t="str">
        <f>IFERROR(__xludf.DUMMYFUNCTION("SPLIT(M535,""&amp;"")"),"Offline ")</f>
        <v>Offline </v>
      </c>
      <c r="O535" s="3" t="str">
        <f t="shared" si="4"/>
        <v>Offline</v>
      </c>
      <c r="P535" s="3" t="str">
        <f t="shared" si="5"/>
        <v>Visitjodhpur</v>
      </c>
      <c r="Q535" s="3" t="str">
        <f t="shared" si="6"/>
        <v>Visitjodhpur</v>
      </c>
      <c r="R535" s="3">
        <f t="shared" si="7"/>
        <v>4566</v>
      </c>
    </row>
    <row r="536">
      <c r="A536" s="7" t="s">
        <v>121</v>
      </c>
      <c r="B536" s="8" t="s">
        <v>20</v>
      </c>
      <c r="C536" s="8">
        <v>99100.0</v>
      </c>
      <c r="E536" s="3" t="str">
        <f>IFERROR(__xludf.DUMMYFUNCTION("SPLIT(A536,""|"")")," CHQ/Facebook/20221201/Visitjaipur/5676 ")</f>
        <v> CHQ/Facebook/20221201/Visitjaipur/5676 </v>
      </c>
      <c r="F536" s="3" t="str">
        <f>IFERROR(__xludf.DUMMYFUNCTION("SPLIT(E536,""/"")")," CHQ")</f>
        <v> CHQ</v>
      </c>
      <c r="G536" s="3" t="str">
        <f>IFERROR(__xludf.DUMMYFUNCTION("""COMPUTED_VALUE"""),"Facebook")</f>
        <v>Facebook</v>
      </c>
      <c r="H536" s="3">
        <f>IFERROR(__xludf.DUMMYFUNCTION("""COMPUTED_VALUE"""),2.0221201E7)</f>
        <v>20221201</v>
      </c>
      <c r="I536" s="3" t="str">
        <f>IFERROR(__xludf.DUMMYFUNCTION("""COMPUTED_VALUE"""),"Visitjaipur")</f>
        <v>Visitjaipur</v>
      </c>
      <c r="J536" s="3">
        <f>IFERROR(__xludf.DUMMYFUNCTION("""COMPUTED_VALUE"""),5676.0)</f>
        <v>5676</v>
      </c>
      <c r="K536" s="3" t="str">
        <f t="shared" ref="K536:L536" si="540">TRIM(F536)</f>
        <v>CHQ</v>
      </c>
      <c r="L536" s="3" t="str">
        <f t="shared" si="540"/>
        <v>Facebook</v>
      </c>
      <c r="M536" s="3" t="str">
        <f t="shared" si="3"/>
        <v>Facebook</v>
      </c>
      <c r="N536" s="3" t="str">
        <f>IFERROR(__xludf.DUMMYFUNCTION("SPLIT(M536,""&amp;"")"),"Facebook")</f>
        <v>Facebook</v>
      </c>
      <c r="O536" s="3" t="str">
        <f t="shared" si="4"/>
        <v>Facebook</v>
      </c>
      <c r="P536" s="3" t="str">
        <f t="shared" si="5"/>
        <v>Visitjaipur</v>
      </c>
      <c r="Q536" s="3" t="str">
        <f t="shared" si="6"/>
        <v>Visitjaipur</v>
      </c>
      <c r="R536" s="3">
        <f t="shared" si="7"/>
        <v>5676</v>
      </c>
    </row>
    <row r="537">
      <c r="A537" s="7" t="s">
        <v>122</v>
      </c>
      <c r="B537" s="8" t="s">
        <v>20</v>
      </c>
      <c r="C537" s="8">
        <v>41100.0</v>
      </c>
      <c r="E537" s="3" t="str">
        <f>IFERROR(__xludf.DUMMYFUNCTION("SPLIT(A537,""|"")")," VfS/YouTube/20221204/Visitrajasthan/4564 ")</f>
        <v> VfS/YouTube/20221204/Visitrajasthan/4564 </v>
      </c>
      <c r="F537" s="3" t="str">
        <f>IFERROR(__xludf.DUMMYFUNCTION("SPLIT(E537,""/"")")," VfS")</f>
        <v> VfS</v>
      </c>
      <c r="G537" s="3" t="str">
        <f>IFERROR(__xludf.DUMMYFUNCTION("""COMPUTED_VALUE"""),"YouTube")</f>
        <v>YouTube</v>
      </c>
      <c r="H537" s="3">
        <f>IFERROR(__xludf.DUMMYFUNCTION("""COMPUTED_VALUE"""),2.0221204E7)</f>
        <v>20221204</v>
      </c>
      <c r="I537" s="3" t="str">
        <f>IFERROR(__xludf.DUMMYFUNCTION("""COMPUTED_VALUE"""),"Visitrajasthan")</f>
        <v>Visitrajasthan</v>
      </c>
      <c r="J537" s="3">
        <f>IFERROR(__xludf.DUMMYFUNCTION("""COMPUTED_VALUE"""),4564.0)</f>
        <v>4564</v>
      </c>
      <c r="K537" s="3" t="str">
        <f t="shared" ref="K537:L537" si="541">TRIM(F537)</f>
        <v>VfS</v>
      </c>
      <c r="L537" s="3" t="str">
        <f t="shared" si="541"/>
        <v>YouTube</v>
      </c>
      <c r="M537" s="3" t="str">
        <f t="shared" si="3"/>
        <v>Youtube</v>
      </c>
      <c r="N537" s="3" t="str">
        <f>IFERROR(__xludf.DUMMYFUNCTION("SPLIT(M537,""&amp;"")"),"Youtube")</f>
        <v>Youtube</v>
      </c>
      <c r="O537" s="3" t="str">
        <f t="shared" si="4"/>
        <v>Youtube</v>
      </c>
      <c r="P537" s="3" t="str">
        <f t="shared" si="5"/>
        <v>Visitrajasthan</v>
      </c>
      <c r="Q537" s="3" t="str">
        <f t="shared" si="6"/>
        <v>Visitrajasthan</v>
      </c>
      <c r="R537" s="3">
        <f t="shared" si="7"/>
        <v>4564</v>
      </c>
    </row>
    <row r="538">
      <c r="A538" s="7" t="s">
        <v>123</v>
      </c>
      <c r="B538" s="8" t="s">
        <v>20</v>
      </c>
      <c r="C538" s="8">
        <v>83200.0</v>
      </c>
      <c r="E538" s="3" t="str">
        <f>IFERROR(__xludf.DUMMYFUNCTION("SPLIT(A538,""|"")")," NEFT/Instagram/20221207/visitudaipur/4565 ")</f>
        <v> NEFT/Instagram/20221207/visitudaipur/4565 </v>
      </c>
      <c r="F538" s="3" t="str">
        <f>IFERROR(__xludf.DUMMYFUNCTION("SPLIT(E538,""/"")")," NEFT")</f>
        <v> NEFT</v>
      </c>
      <c r="G538" s="3" t="str">
        <f>IFERROR(__xludf.DUMMYFUNCTION("""COMPUTED_VALUE"""),"Instagram")</f>
        <v>Instagram</v>
      </c>
      <c r="H538" s="3">
        <f>IFERROR(__xludf.DUMMYFUNCTION("""COMPUTED_VALUE"""),2.0221207E7)</f>
        <v>20221207</v>
      </c>
      <c r="I538" s="3" t="str">
        <f>IFERROR(__xludf.DUMMYFUNCTION("""COMPUTED_VALUE"""),"visitudaipur")</f>
        <v>visitudaipur</v>
      </c>
      <c r="J538" s="3">
        <f>IFERROR(__xludf.DUMMYFUNCTION("""COMPUTED_VALUE"""),4565.0)</f>
        <v>4565</v>
      </c>
      <c r="K538" s="3" t="str">
        <f t="shared" ref="K538:L538" si="542">TRIM(F538)</f>
        <v>NEFT</v>
      </c>
      <c r="L538" s="3" t="str">
        <f t="shared" si="542"/>
        <v>Instagram</v>
      </c>
      <c r="M538" s="3" t="str">
        <f t="shared" si="3"/>
        <v>Instagram</v>
      </c>
      <c r="N538" s="3" t="str">
        <f>IFERROR(__xludf.DUMMYFUNCTION("SPLIT(M538,""&amp;"")"),"Instagram")</f>
        <v>Instagram</v>
      </c>
      <c r="O538" s="3" t="str">
        <f t="shared" si="4"/>
        <v>Instagram</v>
      </c>
      <c r="P538" s="3" t="str">
        <f t="shared" si="5"/>
        <v>visitudaipur</v>
      </c>
      <c r="Q538" s="3" t="str">
        <f t="shared" si="6"/>
        <v>Visitudaipur</v>
      </c>
      <c r="R538" s="3">
        <f t="shared" si="7"/>
        <v>4565</v>
      </c>
    </row>
    <row r="539">
      <c r="A539" s="7" t="s">
        <v>124</v>
      </c>
      <c r="B539" s="8" t="s">
        <v>20</v>
      </c>
      <c r="C539" s="8">
        <v>86900.0</v>
      </c>
      <c r="E539" s="3" t="str">
        <f>IFERROR(__xludf.DUMMYFUNCTION("SPLIT(A539,""|"")")," CHQ/Offline &amp;/20221210/Visitjodhpur/4566 ")</f>
        <v> CHQ/Offline &amp;/20221210/Visitjodhpur/4566 </v>
      </c>
      <c r="F539" s="3" t="str">
        <f>IFERROR(__xludf.DUMMYFUNCTION("SPLIT(E539,""/"")")," CHQ")</f>
        <v> CHQ</v>
      </c>
      <c r="G539" s="3" t="str">
        <f>IFERROR(__xludf.DUMMYFUNCTION("""COMPUTED_VALUE"""),"Offline &amp;")</f>
        <v>Offline &amp;</v>
      </c>
      <c r="H539" s="3">
        <f>IFERROR(__xludf.DUMMYFUNCTION("""COMPUTED_VALUE"""),2.022121E7)</f>
        <v>20221210</v>
      </c>
      <c r="I539" s="3" t="str">
        <f>IFERROR(__xludf.DUMMYFUNCTION("""COMPUTED_VALUE"""),"Visitjodhpur")</f>
        <v>Visitjodhpur</v>
      </c>
      <c r="J539" s="3">
        <f>IFERROR(__xludf.DUMMYFUNCTION("""COMPUTED_VALUE"""),4566.0)</f>
        <v>4566</v>
      </c>
      <c r="K539" s="3" t="str">
        <f t="shared" ref="K539:L539" si="543">TRIM(F539)</f>
        <v>CHQ</v>
      </c>
      <c r="L539" s="3" t="str">
        <f t="shared" si="543"/>
        <v>Offline &amp;</v>
      </c>
      <c r="M539" s="3" t="str">
        <f t="shared" si="3"/>
        <v>Offline &amp;</v>
      </c>
      <c r="N539" s="3" t="str">
        <f>IFERROR(__xludf.DUMMYFUNCTION("SPLIT(M539,""&amp;"")"),"Offline ")</f>
        <v>Offline </v>
      </c>
      <c r="O539" s="3" t="str">
        <f t="shared" si="4"/>
        <v>Offline</v>
      </c>
      <c r="P539" s="3" t="str">
        <f t="shared" si="5"/>
        <v>Visitjodhpur</v>
      </c>
      <c r="Q539" s="3" t="str">
        <f t="shared" si="6"/>
        <v>Visitjodhpur</v>
      </c>
      <c r="R539" s="3">
        <f t="shared" si="7"/>
        <v>4566</v>
      </c>
    </row>
    <row r="540">
      <c r="A540" s="7" t="s">
        <v>125</v>
      </c>
      <c r="B540" s="8" t="s">
        <v>20</v>
      </c>
      <c r="C540" s="8">
        <v>43000.0</v>
      </c>
      <c r="E540" s="3" t="str">
        <f>IFERROR(__xludf.DUMMYFUNCTION("SPLIT(A540,""|"")")," VfS/Google Ads/20221213/visitJaisalmer/3455 ")</f>
        <v> VfS/Google Ads/20221213/visitJaisalmer/3455 </v>
      </c>
      <c r="F540" s="3" t="str">
        <f>IFERROR(__xludf.DUMMYFUNCTION("SPLIT(E540,""/"")")," VfS")</f>
        <v> VfS</v>
      </c>
      <c r="G540" s="3" t="str">
        <f>IFERROR(__xludf.DUMMYFUNCTION("""COMPUTED_VALUE"""),"Google Ads")</f>
        <v>Google Ads</v>
      </c>
      <c r="H540" s="3">
        <f>IFERROR(__xludf.DUMMYFUNCTION("""COMPUTED_VALUE"""),2.0221213E7)</f>
        <v>20221213</v>
      </c>
      <c r="I540" s="3" t="str">
        <f>IFERROR(__xludf.DUMMYFUNCTION("""COMPUTED_VALUE"""),"visitJaisalmer")</f>
        <v>visitJaisalmer</v>
      </c>
      <c r="J540" s="3">
        <f>IFERROR(__xludf.DUMMYFUNCTION("""COMPUTED_VALUE"""),3455.0)</f>
        <v>3455</v>
      </c>
      <c r="K540" s="3" t="str">
        <f t="shared" ref="K540:L540" si="544">TRIM(F540)</f>
        <v>VfS</v>
      </c>
      <c r="L540" s="3" t="str">
        <f t="shared" si="544"/>
        <v>Google Ads</v>
      </c>
      <c r="M540" s="3" t="str">
        <f t="shared" si="3"/>
        <v>Google Ads</v>
      </c>
      <c r="N540" s="3" t="str">
        <f>IFERROR(__xludf.DUMMYFUNCTION("SPLIT(M540,""&amp;"")"),"Google Ads")</f>
        <v>Google Ads</v>
      </c>
      <c r="O540" s="3" t="str">
        <f t="shared" si="4"/>
        <v>Google Ads</v>
      </c>
      <c r="P540" s="3" t="str">
        <f t="shared" si="5"/>
        <v>visitJaisalmer</v>
      </c>
      <c r="Q540" s="3" t="str">
        <f t="shared" si="6"/>
        <v>Visitjaisalmer</v>
      </c>
      <c r="R540" s="3">
        <f t="shared" si="7"/>
        <v>3455</v>
      </c>
    </row>
    <row r="541">
      <c r="A541" s="7" t="s">
        <v>126</v>
      </c>
      <c r="B541" s="8" t="s">
        <v>20</v>
      </c>
      <c r="C541" s="8">
        <v>96500.0</v>
      </c>
      <c r="E541" s="3" t="str">
        <f>IFERROR(__xludf.DUMMYFUNCTION("SPLIT(A541,""|"")")," VIN/TwiTter/20221216/visitbikaner/5666 ")</f>
        <v> VIN/TwiTter/20221216/visitbikaner/5666 </v>
      </c>
      <c r="F541" s="3" t="str">
        <f>IFERROR(__xludf.DUMMYFUNCTION("SPLIT(E541,""/"")")," VIN")</f>
        <v> VIN</v>
      </c>
      <c r="G541" s="3" t="str">
        <f>IFERROR(__xludf.DUMMYFUNCTION("""COMPUTED_VALUE"""),"TwiTter")</f>
        <v>TwiTter</v>
      </c>
      <c r="H541" s="3">
        <f>IFERROR(__xludf.DUMMYFUNCTION("""COMPUTED_VALUE"""),2.0221216E7)</f>
        <v>20221216</v>
      </c>
      <c r="I541" s="3" t="str">
        <f>IFERROR(__xludf.DUMMYFUNCTION("""COMPUTED_VALUE"""),"visitbikaner")</f>
        <v>visitbikaner</v>
      </c>
      <c r="J541" s="3">
        <f>IFERROR(__xludf.DUMMYFUNCTION("""COMPUTED_VALUE"""),5666.0)</f>
        <v>5666</v>
      </c>
      <c r="K541" s="3" t="str">
        <f t="shared" ref="K541:L541" si="545">TRIM(F541)</f>
        <v>VIN</v>
      </c>
      <c r="L541" s="3" t="str">
        <f t="shared" si="545"/>
        <v>TwiTter</v>
      </c>
      <c r="M541" s="3" t="str">
        <f t="shared" si="3"/>
        <v>Twitter</v>
      </c>
      <c r="N541" s="3" t="str">
        <f>IFERROR(__xludf.DUMMYFUNCTION("SPLIT(M541,""&amp;"")"),"Twitter")</f>
        <v>Twitter</v>
      </c>
      <c r="O541" s="3" t="str">
        <f t="shared" si="4"/>
        <v>Twitter</v>
      </c>
      <c r="P541" s="3" t="str">
        <f t="shared" si="5"/>
        <v>visitbikaner</v>
      </c>
      <c r="Q541" s="3" t="str">
        <f t="shared" si="6"/>
        <v>Visitbikaner</v>
      </c>
      <c r="R541" s="3">
        <f t="shared" si="7"/>
        <v>5666</v>
      </c>
    </row>
    <row r="542">
      <c r="A542" s="7" t="s">
        <v>127</v>
      </c>
      <c r="B542" s="8" t="s">
        <v>20</v>
      </c>
      <c r="C542" s="8">
        <v>53300.0</v>
      </c>
      <c r="E542" s="3" t="str">
        <f>IFERROR(__xludf.DUMMYFUNCTION("SPLIT(A542,""|"")")," NEFT/Facebook/20221219/Visitjaipur/5676 ")</f>
        <v> NEFT/Facebook/20221219/Visitjaipur/5676 </v>
      </c>
      <c r="F542" s="3" t="str">
        <f>IFERROR(__xludf.DUMMYFUNCTION("SPLIT(E542,""/"")")," NEFT")</f>
        <v> NEFT</v>
      </c>
      <c r="G542" s="3" t="str">
        <f>IFERROR(__xludf.DUMMYFUNCTION("""COMPUTED_VALUE"""),"Facebook")</f>
        <v>Facebook</v>
      </c>
      <c r="H542" s="3">
        <f>IFERROR(__xludf.DUMMYFUNCTION("""COMPUTED_VALUE"""),2.0221219E7)</f>
        <v>20221219</v>
      </c>
      <c r="I542" s="3" t="str">
        <f>IFERROR(__xludf.DUMMYFUNCTION("""COMPUTED_VALUE"""),"Visitjaipur")</f>
        <v>Visitjaipur</v>
      </c>
      <c r="J542" s="3">
        <f>IFERROR(__xludf.DUMMYFUNCTION("""COMPUTED_VALUE"""),5676.0)</f>
        <v>5676</v>
      </c>
      <c r="K542" s="3" t="str">
        <f t="shared" ref="K542:L542" si="546">TRIM(F542)</f>
        <v>NEFT</v>
      </c>
      <c r="L542" s="3" t="str">
        <f t="shared" si="546"/>
        <v>Facebook</v>
      </c>
      <c r="M542" s="3" t="str">
        <f t="shared" si="3"/>
        <v>Facebook</v>
      </c>
      <c r="N542" s="3" t="str">
        <f>IFERROR(__xludf.DUMMYFUNCTION("SPLIT(M542,""&amp;"")"),"Facebook")</f>
        <v>Facebook</v>
      </c>
      <c r="O542" s="3" t="str">
        <f t="shared" si="4"/>
        <v>Facebook</v>
      </c>
      <c r="P542" s="3" t="str">
        <f t="shared" si="5"/>
        <v>Visitjaipur</v>
      </c>
      <c r="Q542" s="3" t="str">
        <f t="shared" si="6"/>
        <v>Visitjaipur</v>
      </c>
      <c r="R542" s="3">
        <f t="shared" si="7"/>
        <v>5676</v>
      </c>
    </row>
    <row r="543">
      <c r="A543" s="7" t="s">
        <v>128</v>
      </c>
      <c r="B543" s="8" t="s">
        <v>20</v>
      </c>
      <c r="C543" s="8">
        <v>83900.0</v>
      </c>
      <c r="E543" s="3" t="str">
        <f>IFERROR(__xludf.DUMMYFUNCTION("SPLIT(A543,""|"")")," CHQ/YouTube &amp;/20221222/Visitrajasthan/4564 ")</f>
        <v> CHQ/YouTube &amp;/20221222/Visitrajasthan/4564 </v>
      </c>
      <c r="F543" s="3" t="str">
        <f>IFERROR(__xludf.DUMMYFUNCTION("SPLIT(E543,""/"")")," CHQ")</f>
        <v> CHQ</v>
      </c>
      <c r="G543" s="3" t="str">
        <f>IFERROR(__xludf.DUMMYFUNCTION("""COMPUTED_VALUE"""),"YouTube &amp;")</f>
        <v>YouTube &amp;</v>
      </c>
      <c r="H543" s="3">
        <f>IFERROR(__xludf.DUMMYFUNCTION("""COMPUTED_VALUE"""),2.0221222E7)</f>
        <v>20221222</v>
      </c>
      <c r="I543" s="3" t="str">
        <f>IFERROR(__xludf.DUMMYFUNCTION("""COMPUTED_VALUE"""),"Visitrajasthan")</f>
        <v>Visitrajasthan</v>
      </c>
      <c r="J543" s="3">
        <f>IFERROR(__xludf.DUMMYFUNCTION("""COMPUTED_VALUE"""),4564.0)</f>
        <v>4564</v>
      </c>
      <c r="K543" s="3" t="str">
        <f t="shared" ref="K543:L543" si="547">TRIM(F543)</f>
        <v>CHQ</v>
      </c>
      <c r="L543" s="3" t="str">
        <f t="shared" si="547"/>
        <v>YouTube &amp;</v>
      </c>
      <c r="M543" s="3" t="str">
        <f t="shared" si="3"/>
        <v>Youtube &amp;</v>
      </c>
      <c r="N543" s="3" t="str">
        <f>IFERROR(__xludf.DUMMYFUNCTION("SPLIT(M543,""&amp;"")"),"Youtube ")</f>
        <v>Youtube </v>
      </c>
      <c r="O543" s="3" t="str">
        <f t="shared" si="4"/>
        <v>Youtube</v>
      </c>
      <c r="P543" s="3" t="str">
        <f t="shared" si="5"/>
        <v>Visitrajasthan</v>
      </c>
      <c r="Q543" s="3" t="str">
        <f t="shared" si="6"/>
        <v>Visitrajasthan</v>
      </c>
      <c r="R543" s="3">
        <f t="shared" si="7"/>
        <v>4564</v>
      </c>
    </row>
    <row r="544">
      <c r="A544" s="7" t="s">
        <v>129</v>
      </c>
      <c r="B544" s="8" t="s">
        <v>20</v>
      </c>
      <c r="C544" s="8">
        <v>87700.0</v>
      </c>
      <c r="E544" s="3" t="str">
        <f>IFERROR(__xludf.DUMMYFUNCTION("SPLIT(A544,""|"")")," VfS/Instagram/20221225/visitudaipur/4565 ")</f>
        <v> VfS/Instagram/20221225/visitudaipur/4565 </v>
      </c>
      <c r="F544" s="3" t="str">
        <f>IFERROR(__xludf.DUMMYFUNCTION("SPLIT(E544,""/"")")," VfS")</f>
        <v> VfS</v>
      </c>
      <c r="G544" s="3" t="str">
        <f>IFERROR(__xludf.DUMMYFUNCTION("""COMPUTED_VALUE"""),"Instagram")</f>
        <v>Instagram</v>
      </c>
      <c r="H544" s="3">
        <f>IFERROR(__xludf.DUMMYFUNCTION("""COMPUTED_VALUE"""),2.0221225E7)</f>
        <v>20221225</v>
      </c>
      <c r="I544" s="3" t="str">
        <f>IFERROR(__xludf.DUMMYFUNCTION("""COMPUTED_VALUE"""),"visitudaipur")</f>
        <v>visitudaipur</v>
      </c>
      <c r="J544" s="3">
        <f>IFERROR(__xludf.DUMMYFUNCTION("""COMPUTED_VALUE"""),4565.0)</f>
        <v>4565</v>
      </c>
      <c r="K544" s="3" t="str">
        <f t="shared" ref="K544:L544" si="548">TRIM(F544)</f>
        <v>VfS</v>
      </c>
      <c r="L544" s="3" t="str">
        <f t="shared" si="548"/>
        <v>Instagram</v>
      </c>
      <c r="M544" s="3" t="str">
        <f t="shared" si="3"/>
        <v>Instagram</v>
      </c>
      <c r="N544" s="3" t="str">
        <f>IFERROR(__xludf.DUMMYFUNCTION("SPLIT(M544,""&amp;"")"),"Instagram")</f>
        <v>Instagram</v>
      </c>
      <c r="O544" s="3" t="str">
        <f t="shared" si="4"/>
        <v>Instagram</v>
      </c>
      <c r="P544" s="3" t="str">
        <f t="shared" si="5"/>
        <v>visitudaipur</v>
      </c>
      <c r="Q544" s="3" t="str">
        <f t="shared" si="6"/>
        <v>Visitudaipur</v>
      </c>
      <c r="R544" s="3">
        <f t="shared" si="7"/>
        <v>4565</v>
      </c>
    </row>
    <row r="545">
      <c r="A545" s="7" t="s">
        <v>130</v>
      </c>
      <c r="B545" s="8" t="s">
        <v>20</v>
      </c>
      <c r="C545" s="8">
        <v>21500.0</v>
      </c>
      <c r="E545" s="3" t="str">
        <f>IFERROR(__xludf.DUMMYFUNCTION("SPLIT(A545,""|"")")," VIN/OfflINe &amp;/20221228/Visitjodhpur/4566 ")</f>
        <v> VIN/OfflINe &amp;/20221228/Visitjodhpur/4566 </v>
      </c>
      <c r="F545" s="3" t="str">
        <f>IFERROR(__xludf.DUMMYFUNCTION("SPLIT(E545,""/"")")," VIN")</f>
        <v> VIN</v>
      </c>
      <c r="G545" s="3" t="str">
        <f>IFERROR(__xludf.DUMMYFUNCTION("""COMPUTED_VALUE"""),"OfflINe &amp;")</f>
        <v>OfflINe &amp;</v>
      </c>
      <c r="H545" s="3">
        <f>IFERROR(__xludf.DUMMYFUNCTION("""COMPUTED_VALUE"""),2.0221228E7)</f>
        <v>20221228</v>
      </c>
      <c r="I545" s="3" t="str">
        <f>IFERROR(__xludf.DUMMYFUNCTION("""COMPUTED_VALUE"""),"Visitjodhpur")</f>
        <v>Visitjodhpur</v>
      </c>
      <c r="J545" s="3">
        <f>IFERROR(__xludf.DUMMYFUNCTION("""COMPUTED_VALUE"""),4566.0)</f>
        <v>4566</v>
      </c>
      <c r="K545" s="3" t="str">
        <f t="shared" ref="K545:L545" si="549">TRIM(F545)</f>
        <v>VIN</v>
      </c>
      <c r="L545" s="3" t="str">
        <f t="shared" si="549"/>
        <v>OfflINe &amp;</v>
      </c>
      <c r="M545" s="3" t="str">
        <f t="shared" si="3"/>
        <v>Offline &amp;</v>
      </c>
      <c r="N545" s="3" t="str">
        <f>IFERROR(__xludf.DUMMYFUNCTION("SPLIT(M545,""&amp;"")"),"Offline ")</f>
        <v>Offline </v>
      </c>
      <c r="O545" s="3" t="str">
        <f t="shared" si="4"/>
        <v>Offline</v>
      </c>
      <c r="P545" s="3" t="str">
        <f t="shared" si="5"/>
        <v>Visitjodhpur</v>
      </c>
      <c r="Q545" s="3" t="str">
        <f t="shared" si="6"/>
        <v>Visitjodhpur</v>
      </c>
      <c r="R545" s="3">
        <f t="shared" si="7"/>
        <v>4566</v>
      </c>
    </row>
    <row r="546">
      <c r="A546" s="7" t="s">
        <v>131</v>
      </c>
      <c r="B546" s="8" t="s">
        <v>6</v>
      </c>
      <c r="C546" s="8">
        <v>88300.0</v>
      </c>
      <c r="E546" s="3" t="str">
        <f>IFERROR(__xludf.DUMMYFUNCTION("SPLIT(A546,""|"")")," CHQ/Facebook/20221001/Visitjaipur/5676 ")</f>
        <v> CHQ/Facebook/20221001/Visitjaipur/5676 </v>
      </c>
      <c r="F546" s="3" t="str">
        <f>IFERROR(__xludf.DUMMYFUNCTION("SPLIT(E546,""/"")")," CHQ")</f>
        <v> CHQ</v>
      </c>
      <c r="G546" s="3" t="str">
        <f>IFERROR(__xludf.DUMMYFUNCTION("""COMPUTED_VALUE"""),"Facebook")</f>
        <v>Facebook</v>
      </c>
      <c r="H546" s="3">
        <f>IFERROR(__xludf.DUMMYFUNCTION("""COMPUTED_VALUE"""),2.0221001E7)</f>
        <v>20221001</v>
      </c>
      <c r="I546" s="3" t="str">
        <f>IFERROR(__xludf.DUMMYFUNCTION("""COMPUTED_VALUE"""),"Visitjaipur")</f>
        <v>Visitjaipur</v>
      </c>
      <c r="J546" s="3">
        <f>IFERROR(__xludf.DUMMYFUNCTION("""COMPUTED_VALUE"""),5676.0)</f>
        <v>5676</v>
      </c>
      <c r="K546" s="3" t="str">
        <f t="shared" ref="K546:L546" si="550">TRIM(F546)</f>
        <v>CHQ</v>
      </c>
      <c r="L546" s="3" t="str">
        <f t="shared" si="550"/>
        <v>Facebook</v>
      </c>
      <c r="M546" s="3" t="str">
        <f t="shared" si="3"/>
        <v>Facebook</v>
      </c>
      <c r="N546" s="3" t="str">
        <f>IFERROR(__xludf.DUMMYFUNCTION("SPLIT(M546,""&amp;"")"),"Facebook")</f>
        <v>Facebook</v>
      </c>
      <c r="O546" s="3" t="str">
        <f t="shared" si="4"/>
        <v>Facebook</v>
      </c>
      <c r="P546" s="3" t="str">
        <f t="shared" si="5"/>
        <v>Visitjaipur</v>
      </c>
      <c r="Q546" s="3" t="str">
        <f t="shared" si="6"/>
        <v>Visitjaipur</v>
      </c>
      <c r="R546" s="3">
        <f t="shared" si="7"/>
        <v>5676</v>
      </c>
    </row>
    <row r="547">
      <c r="A547" s="7" t="s">
        <v>132</v>
      </c>
      <c r="B547" s="8" t="s">
        <v>6</v>
      </c>
      <c r="C547" s="8">
        <v>24900.0</v>
      </c>
      <c r="E547" s="3" t="str">
        <f>IFERROR(__xludf.DUMMYFUNCTION("SPLIT(A547,""|"")")," VfS/YouTube/20221004/Visitrajasthan/4564 ")</f>
        <v> VfS/YouTube/20221004/Visitrajasthan/4564 </v>
      </c>
      <c r="F547" s="3" t="str">
        <f>IFERROR(__xludf.DUMMYFUNCTION("SPLIT(E547,""/"")")," VfS")</f>
        <v> VfS</v>
      </c>
      <c r="G547" s="3" t="str">
        <f>IFERROR(__xludf.DUMMYFUNCTION("""COMPUTED_VALUE"""),"YouTube")</f>
        <v>YouTube</v>
      </c>
      <c r="H547" s="3">
        <f>IFERROR(__xludf.DUMMYFUNCTION("""COMPUTED_VALUE"""),2.0221004E7)</f>
        <v>20221004</v>
      </c>
      <c r="I547" s="3" t="str">
        <f>IFERROR(__xludf.DUMMYFUNCTION("""COMPUTED_VALUE"""),"Visitrajasthan")</f>
        <v>Visitrajasthan</v>
      </c>
      <c r="J547" s="3">
        <f>IFERROR(__xludf.DUMMYFUNCTION("""COMPUTED_VALUE"""),4564.0)</f>
        <v>4564</v>
      </c>
      <c r="K547" s="3" t="str">
        <f t="shared" ref="K547:L547" si="551">TRIM(F547)</f>
        <v>VfS</v>
      </c>
      <c r="L547" s="3" t="str">
        <f t="shared" si="551"/>
        <v>YouTube</v>
      </c>
      <c r="M547" s="3" t="str">
        <f t="shared" si="3"/>
        <v>Youtube</v>
      </c>
      <c r="N547" s="3" t="str">
        <f>IFERROR(__xludf.DUMMYFUNCTION("SPLIT(M547,""&amp;"")"),"Youtube")</f>
        <v>Youtube</v>
      </c>
      <c r="O547" s="3" t="str">
        <f t="shared" si="4"/>
        <v>Youtube</v>
      </c>
      <c r="P547" s="3" t="str">
        <f t="shared" si="5"/>
        <v>Visitrajasthan</v>
      </c>
      <c r="Q547" s="3" t="str">
        <f t="shared" si="6"/>
        <v>Visitrajasthan</v>
      </c>
      <c r="R547" s="3">
        <f t="shared" si="7"/>
        <v>4564</v>
      </c>
    </row>
    <row r="548">
      <c r="A548" s="7" t="s">
        <v>133</v>
      </c>
      <c r="B548" s="8" t="s">
        <v>6</v>
      </c>
      <c r="C548" s="8">
        <v>30100.0</v>
      </c>
      <c r="E548" s="3" t="str">
        <f>IFERROR(__xludf.DUMMYFUNCTION("SPLIT(A548,""|"")")," NEFT/Instagram/20221007/visitudaipur/4565 ")</f>
        <v> NEFT/Instagram/20221007/visitudaipur/4565 </v>
      </c>
      <c r="F548" s="3" t="str">
        <f>IFERROR(__xludf.DUMMYFUNCTION("SPLIT(E548,""/"")")," NEFT")</f>
        <v> NEFT</v>
      </c>
      <c r="G548" s="3" t="str">
        <f>IFERROR(__xludf.DUMMYFUNCTION("""COMPUTED_VALUE"""),"Instagram")</f>
        <v>Instagram</v>
      </c>
      <c r="H548" s="3">
        <f>IFERROR(__xludf.DUMMYFUNCTION("""COMPUTED_VALUE"""),2.0221007E7)</f>
        <v>20221007</v>
      </c>
      <c r="I548" s="3" t="str">
        <f>IFERROR(__xludf.DUMMYFUNCTION("""COMPUTED_VALUE"""),"visitudaipur")</f>
        <v>visitudaipur</v>
      </c>
      <c r="J548" s="3">
        <f>IFERROR(__xludf.DUMMYFUNCTION("""COMPUTED_VALUE"""),4565.0)</f>
        <v>4565</v>
      </c>
      <c r="K548" s="3" t="str">
        <f t="shared" ref="K548:L548" si="552">TRIM(F548)</f>
        <v>NEFT</v>
      </c>
      <c r="L548" s="3" t="str">
        <f t="shared" si="552"/>
        <v>Instagram</v>
      </c>
      <c r="M548" s="3" t="str">
        <f t="shared" si="3"/>
        <v>Instagram</v>
      </c>
      <c r="N548" s="3" t="str">
        <f>IFERROR(__xludf.DUMMYFUNCTION("SPLIT(M548,""&amp;"")"),"Instagram")</f>
        <v>Instagram</v>
      </c>
      <c r="O548" s="3" t="str">
        <f t="shared" si="4"/>
        <v>Instagram</v>
      </c>
      <c r="P548" s="3" t="str">
        <f t="shared" si="5"/>
        <v>visitudaipur</v>
      </c>
      <c r="Q548" s="3" t="str">
        <f t="shared" si="6"/>
        <v>Visitudaipur</v>
      </c>
      <c r="R548" s="3">
        <f t="shared" si="7"/>
        <v>4565</v>
      </c>
    </row>
    <row r="549">
      <c r="A549" s="7" t="s">
        <v>134</v>
      </c>
      <c r="B549" s="8" t="s">
        <v>6</v>
      </c>
      <c r="C549" s="8">
        <v>71600.0</v>
      </c>
      <c r="E549" s="3" t="str">
        <f>IFERROR(__xludf.DUMMYFUNCTION("SPLIT(A549,""|"")")," CHQ/Offline &amp;/20221010/Visitjodhpur/4566 ")</f>
        <v> CHQ/Offline &amp;/20221010/Visitjodhpur/4566 </v>
      </c>
      <c r="F549" s="3" t="str">
        <f>IFERROR(__xludf.DUMMYFUNCTION("SPLIT(E549,""/"")")," CHQ")</f>
        <v> CHQ</v>
      </c>
      <c r="G549" s="3" t="str">
        <f>IFERROR(__xludf.DUMMYFUNCTION("""COMPUTED_VALUE"""),"Offline &amp;")</f>
        <v>Offline &amp;</v>
      </c>
      <c r="H549" s="3">
        <f>IFERROR(__xludf.DUMMYFUNCTION("""COMPUTED_VALUE"""),2.022101E7)</f>
        <v>20221010</v>
      </c>
      <c r="I549" s="3" t="str">
        <f>IFERROR(__xludf.DUMMYFUNCTION("""COMPUTED_VALUE"""),"Visitjodhpur")</f>
        <v>Visitjodhpur</v>
      </c>
      <c r="J549" s="3">
        <f>IFERROR(__xludf.DUMMYFUNCTION("""COMPUTED_VALUE"""),4566.0)</f>
        <v>4566</v>
      </c>
      <c r="K549" s="3" t="str">
        <f t="shared" ref="K549:L549" si="553">TRIM(F549)</f>
        <v>CHQ</v>
      </c>
      <c r="L549" s="3" t="str">
        <f t="shared" si="553"/>
        <v>Offline &amp;</v>
      </c>
      <c r="M549" s="3" t="str">
        <f t="shared" si="3"/>
        <v>Offline &amp;</v>
      </c>
      <c r="N549" s="3" t="str">
        <f>IFERROR(__xludf.DUMMYFUNCTION("SPLIT(M549,""&amp;"")"),"Offline ")</f>
        <v>Offline </v>
      </c>
      <c r="O549" s="3" t="str">
        <f t="shared" si="4"/>
        <v>Offline</v>
      </c>
      <c r="P549" s="3" t="str">
        <f t="shared" si="5"/>
        <v>Visitjodhpur</v>
      </c>
      <c r="Q549" s="3" t="str">
        <f t="shared" si="6"/>
        <v>Visitjodhpur</v>
      </c>
      <c r="R549" s="3">
        <f t="shared" si="7"/>
        <v>4566</v>
      </c>
    </row>
    <row r="550">
      <c r="A550" s="7" t="s">
        <v>151</v>
      </c>
      <c r="B550" s="8" t="s">
        <v>6</v>
      </c>
      <c r="C550" s="8">
        <v>42000.0</v>
      </c>
      <c r="E550" s="3" t="str">
        <f>IFERROR(__xludf.DUMMYFUNCTION("SPLIT(A550,""|"")")," VfS/Google Ads/20221013/visitJaisalmer/3455 ")</f>
        <v> VfS/Google Ads/20221013/visitJaisalmer/3455 </v>
      </c>
      <c r="F550" s="3" t="str">
        <f>IFERROR(__xludf.DUMMYFUNCTION("SPLIT(E550,""/"")")," VfS")</f>
        <v> VfS</v>
      </c>
      <c r="G550" s="3" t="str">
        <f>IFERROR(__xludf.DUMMYFUNCTION("""COMPUTED_VALUE"""),"Google Ads")</f>
        <v>Google Ads</v>
      </c>
      <c r="H550" s="3">
        <f>IFERROR(__xludf.DUMMYFUNCTION("""COMPUTED_VALUE"""),2.0221013E7)</f>
        <v>20221013</v>
      </c>
      <c r="I550" s="3" t="str">
        <f>IFERROR(__xludf.DUMMYFUNCTION("""COMPUTED_VALUE"""),"visitJaisalmer")</f>
        <v>visitJaisalmer</v>
      </c>
      <c r="J550" s="3">
        <f>IFERROR(__xludf.DUMMYFUNCTION("""COMPUTED_VALUE"""),3455.0)</f>
        <v>3455</v>
      </c>
      <c r="K550" s="3" t="str">
        <f t="shared" ref="K550:L550" si="554">TRIM(F550)</f>
        <v>VfS</v>
      </c>
      <c r="L550" s="3" t="str">
        <f t="shared" si="554"/>
        <v>Google Ads</v>
      </c>
      <c r="M550" s="3" t="str">
        <f t="shared" si="3"/>
        <v>Google Ads</v>
      </c>
      <c r="N550" s="3" t="str">
        <f>IFERROR(__xludf.DUMMYFUNCTION("SPLIT(M550,""&amp;"")"),"Google Ads")</f>
        <v>Google Ads</v>
      </c>
      <c r="O550" s="3" t="str">
        <f t="shared" si="4"/>
        <v>Google Ads</v>
      </c>
      <c r="P550" s="3" t="str">
        <f t="shared" si="5"/>
        <v>visitJaisalmer</v>
      </c>
      <c r="Q550" s="3" t="str">
        <f t="shared" si="6"/>
        <v>Visitjaisalmer</v>
      </c>
      <c r="R550" s="3">
        <f t="shared" si="7"/>
        <v>3455</v>
      </c>
    </row>
    <row r="551">
      <c r="A551" s="7" t="s">
        <v>136</v>
      </c>
      <c r="B551" s="8" t="s">
        <v>6</v>
      </c>
      <c r="C551" s="8">
        <v>29800.0</v>
      </c>
      <c r="E551" s="3" t="str">
        <f>IFERROR(__xludf.DUMMYFUNCTION("SPLIT(A551,""|"")")," VIN/TwiTter/20221016/visitbikaner/5666 ")</f>
        <v> VIN/TwiTter/20221016/visitbikaner/5666 </v>
      </c>
      <c r="F551" s="3" t="str">
        <f>IFERROR(__xludf.DUMMYFUNCTION("SPLIT(E551,""/"")")," VIN")</f>
        <v> VIN</v>
      </c>
      <c r="G551" s="3" t="str">
        <f>IFERROR(__xludf.DUMMYFUNCTION("""COMPUTED_VALUE"""),"TwiTter")</f>
        <v>TwiTter</v>
      </c>
      <c r="H551" s="3">
        <f>IFERROR(__xludf.DUMMYFUNCTION("""COMPUTED_VALUE"""),2.0221016E7)</f>
        <v>20221016</v>
      </c>
      <c r="I551" s="3" t="str">
        <f>IFERROR(__xludf.DUMMYFUNCTION("""COMPUTED_VALUE"""),"visitbikaner")</f>
        <v>visitbikaner</v>
      </c>
      <c r="J551" s="3">
        <f>IFERROR(__xludf.DUMMYFUNCTION("""COMPUTED_VALUE"""),5666.0)</f>
        <v>5666</v>
      </c>
      <c r="K551" s="3" t="str">
        <f t="shared" ref="K551:L551" si="555">TRIM(F551)</f>
        <v>VIN</v>
      </c>
      <c r="L551" s="3" t="str">
        <f t="shared" si="555"/>
        <v>TwiTter</v>
      </c>
      <c r="M551" s="3" t="str">
        <f t="shared" si="3"/>
        <v>Twitter</v>
      </c>
      <c r="N551" s="3" t="str">
        <f>IFERROR(__xludf.DUMMYFUNCTION("SPLIT(M551,""&amp;"")"),"Twitter")</f>
        <v>Twitter</v>
      </c>
      <c r="O551" s="3" t="str">
        <f t="shared" si="4"/>
        <v>Twitter</v>
      </c>
      <c r="P551" s="3" t="str">
        <f t="shared" si="5"/>
        <v>visitbikaner</v>
      </c>
      <c r="Q551" s="3" t="str">
        <f t="shared" si="6"/>
        <v>Visitbikaner</v>
      </c>
      <c r="R551" s="3">
        <f t="shared" si="7"/>
        <v>5666</v>
      </c>
    </row>
    <row r="552">
      <c r="A552" s="7" t="s">
        <v>137</v>
      </c>
      <c r="B552" s="8" t="s">
        <v>6</v>
      </c>
      <c r="C552" s="8">
        <v>87000.0</v>
      </c>
      <c r="E552" s="3" t="str">
        <f>IFERROR(__xludf.DUMMYFUNCTION("SPLIT(A552,""|"")")," NEFT/Facebook/20221019/Visitjaipur/5676 ")</f>
        <v> NEFT/Facebook/20221019/Visitjaipur/5676 </v>
      </c>
      <c r="F552" s="3" t="str">
        <f>IFERROR(__xludf.DUMMYFUNCTION("SPLIT(E552,""/"")")," NEFT")</f>
        <v> NEFT</v>
      </c>
      <c r="G552" s="3" t="str">
        <f>IFERROR(__xludf.DUMMYFUNCTION("""COMPUTED_VALUE"""),"Facebook")</f>
        <v>Facebook</v>
      </c>
      <c r="H552" s="3">
        <f>IFERROR(__xludf.DUMMYFUNCTION("""COMPUTED_VALUE"""),2.0221019E7)</f>
        <v>20221019</v>
      </c>
      <c r="I552" s="3" t="str">
        <f>IFERROR(__xludf.DUMMYFUNCTION("""COMPUTED_VALUE"""),"Visitjaipur")</f>
        <v>Visitjaipur</v>
      </c>
      <c r="J552" s="3">
        <f>IFERROR(__xludf.DUMMYFUNCTION("""COMPUTED_VALUE"""),5676.0)</f>
        <v>5676</v>
      </c>
      <c r="K552" s="3" t="str">
        <f t="shared" ref="K552:L552" si="556">TRIM(F552)</f>
        <v>NEFT</v>
      </c>
      <c r="L552" s="3" t="str">
        <f t="shared" si="556"/>
        <v>Facebook</v>
      </c>
      <c r="M552" s="3" t="str">
        <f t="shared" si="3"/>
        <v>Facebook</v>
      </c>
      <c r="N552" s="3" t="str">
        <f>IFERROR(__xludf.DUMMYFUNCTION("SPLIT(M552,""&amp;"")"),"Facebook")</f>
        <v>Facebook</v>
      </c>
      <c r="O552" s="3" t="str">
        <f t="shared" si="4"/>
        <v>Facebook</v>
      </c>
      <c r="P552" s="3" t="str">
        <f t="shared" si="5"/>
        <v>Visitjaipur</v>
      </c>
      <c r="Q552" s="3" t="str">
        <f t="shared" si="6"/>
        <v>Visitjaipur</v>
      </c>
      <c r="R552" s="3">
        <f t="shared" si="7"/>
        <v>5676</v>
      </c>
    </row>
    <row r="553">
      <c r="A553" s="7" t="s">
        <v>138</v>
      </c>
      <c r="B553" s="8" t="s">
        <v>6</v>
      </c>
      <c r="C553" s="8">
        <v>34000.0</v>
      </c>
      <c r="E553" s="3" t="str">
        <f>IFERROR(__xludf.DUMMYFUNCTION("SPLIT(A553,""|"")")," CHQ/YouTube &amp;/20221022/Visitrajasthan/4564 ")</f>
        <v> CHQ/YouTube &amp;/20221022/Visitrajasthan/4564 </v>
      </c>
      <c r="F553" s="3" t="str">
        <f>IFERROR(__xludf.DUMMYFUNCTION("SPLIT(E553,""/"")")," CHQ")</f>
        <v> CHQ</v>
      </c>
      <c r="G553" s="3" t="str">
        <f>IFERROR(__xludf.DUMMYFUNCTION("""COMPUTED_VALUE"""),"YouTube &amp;")</f>
        <v>YouTube &amp;</v>
      </c>
      <c r="H553" s="3">
        <f>IFERROR(__xludf.DUMMYFUNCTION("""COMPUTED_VALUE"""),2.0221022E7)</f>
        <v>20221022</v>
      </c>
      <c r="I553" s="3" t="str">
        <f>IFERROR(__xludf.DUMMYFUNCTION("""COMPUTED_VALUE"""),"Visitrajasthan")</f>
        <v>Visitrajasthan</v>
      </c>
      <c r="J553" s="3">
        <f>IFERROR(__xludf.DUMMYFUNCTION("""COMPUTED_VALUE"""),4564.0)</f>
        <v>4564</v>
      </c>
      <c r="K553" s="3" t="str">
        <f t="shared" ref="K553:L553" si="557">TRIM(F553)</f>
        <v>CHQ</v>
      </c>
      <c r="L553" s="3" t="str">
        <f t="shared" si="557"/>
        <v>YouTube &amp;</v>
      </c>
      <c r="M553" s="3" t="str">
        <f t="shared" si="3"/>
        <v>Youtube &amp;</v>
      </c>
      <c r="N553" s="3" t="str">
        <f>IFERROR(__xludf.DUMMYFUNCTION("SPLIT(M553,""&amp;"")"),"Youtube ")</f>
        <v>Youtube </v>
      </c>
      <c r="O553" s="3" t="str">
        <f t="shared" si="4"/>
        <v>Youtube</v>
      </c>
      <c r="P553" s="3" t="str">
        <f t="shared" si="5"/>
        <v>Visitrajasthan</v>
      </c>
      <c r="Q553" s="3" t="str">
        <f t="shared" si="6"/>
        <v>Visitrajasthan</v>
      </c>
      <c r="R553" s="3">
        <f t="shared" si="7"/>
        <v>4564</v>
      </c>
    </row>
    <row r="554">
      <c r="A554" s="7" t="s">
        <v>139</v>
      </c>
      <c r="B554" s="8" t="s">
        <v>6</v>
      </c>
      <c r="C554" s="8">
        <v>81600.0</v>
      </c>
      <c r="E554" s="3" t="str">
        <f>IFERROR(__xludf.DUMMYFUNCTION("SPLIT(A554,""|"")")," VfS/Instagram/20221025/visitudaipur/4565 ")</f>
        <v> VfS/Instagram/20221025/visitudaipur/4565 </v>
      </c>
      <c r="F554" s="3" t="str">
        <f>IFERROR(__xludf.DUMMYFUNCTION("SPLIT(E554,""/"")")," VfS")</f>
        <v> VfS</v>
      </c>
      <c r="G554" s="3" t="str">
        <f>IFERROR(__xludf.DUMMYFUNCTION("""COMPUTED_VALUE"""),"Instagram")</f>
        <v>Instagram</v>
      </c>
      <c r="H554" s="3">
        <f>IFERROR(__xludf.DUMMYFUNCTION("""COMPUTED_VALUE"""),2.0221025E7)</f>
        <v>20221025</v>
      </c>
      <c r="I554" s="3" t="str">
        <f>IFERROR(__xludf.DUMMYFUNCTION("""COMPUTED_VALUE"""),"visitudaipur")</f>
        <v>visitudaipur</v>
      </c>
      <c r="J554" s="3">
        <f>IFERROR(__xludf.DUMMYFUNCTION("""COMPUTED_VALUE"""),4565.0)</f>
        <v>4565</v>
      </c>
      <c r="K554" s="3" t="str">
        <f t="shared" ref="K554:L554" si="558">TRIM(F554)</f>
        <v>VfS</v>
      </c>
      <c r="L554" s="3" t="str">
        <f t="shared" si="558"/>
        <v>Instagram</v>
      </c>
      <c r="M554" s="3" t="str">
        <f t="shared" si="3"/>
        <v>Instagram</v>
      </c>
      <c r="N554" s="3" t="str">
        <f>IFERROR(__xludf.DUMMYFUNCTION("SPLIT(M554,""&amp;"")"),"Instagram")</f>
        <v>Instagram</v>
      </c>
      <c r="O554" s="3" t="str">
        <f t="shared" si="4"/>
        <v>Instagram</v>
      </c>
      <c r="P554" s="3" t="str">
        <f t="shared" si="5"/>
        <v>visitudaipur</v>
      </c>
      <c r="Q554" s="3" t="str">
        <f t="shared" si="6"/>
        <v>Visitudaipur</v>
      </c>
      <c r="R554" s="3">
        <f t="shared" si="7"/>
        <v>4565</v>
      </c>
    </row>
    <row r="555">
      <c r="A555" s="7" t="s">
        <v>140</v>
      </c>
      <c r="B555" s="8" t="s">
        <v>6</v>
      </c>
      <c r="C555" s="8">
        <v>19500.0</v>
      </c>
      <c r="E555" s="3" t="str">
        <f>IFERROR(__xludf.DUMMYFUNCTION("SPLIT(A555,""|"")")," VIN/OfflINe &amp;/20221028/Visitjodhpur/4566 ")</f>
        <v> VIN/OfflINe &amp;/20221028/Visitjodhpur/4566 </v>
      </c>
      <c r="F555" s="3" t="str">
        <f>IFERROR(__xludf.DUMMYFUNCTION("SPLIT(E555,""/"")")," VIN")</f>
        <v> VIN</v>
      </c>
      <c r="G555" s="3" t="str">
        <f>IFERROR(__xludf.DUMMYFUNCTION("""COMPUTED_VALUE"""),"OfflINe &amp;")</f>
        <v>OfflINe &amp;</v>
      </c>
      <c r="H555" s="3">
        <f>IFERROR(__xludf.DUMMYFUNCTION("""COMPUTED_VALUE"""),2.0221028E7)</f>
        <v>20221028</v>
      </c>
      <c r="I555" s="3" t="str">
        <f>IFERROR(__xludf.DUMMYFUNCTION("""COMPUTED_VALUE"""),"Visitjodhpur")</f>
        <v>Visitjodhpur</v>
      </c>
      <c r="J555" s="3">
        <f>IFERROR(__xludf.DUMMYFUNCTION("""COMPUTED_VALUE"""),4566.0)</f>
        <v>4566</v>
      </c>
      <c r="K555" s="3" t="str">
        <f t="shared" ref="K555:L555" si="559">TRIM(F555)</f>
        <v>VIN</v>
      </c>
      <c r="L555" s="3" t="str">
        <f t="shared" si="559"/>
        <v>OfflINe &amp;</v>
      </c>
      <c r="M555" s="3" t="str">
        <f t="shared" si="3"/>
        <v>Offline &amp;</v>
      </c>
      <c r="N555" s="3" t="str">
        <f>IFERROR(__xludf.DUMMYFUNCTION("SPLIT(M555,""&amp;"")"),"Offline ")</f>
        <v>Offline </v>
      </c>
      <c r="O555" s="3" t="str">
        <f t="shared" si="4"/>
        <v>Offline</v>
      </c>
      <c r="P555" s="3" t="str">
        <f t="shared" si="5"/>
        <v>Visitjodhpur</v>
      </c>
      <c r="Q555" s="3" t="str">
        <f t="shared" si="6"/>
        <v>Visitjodhpur</v>
      </c>
      <c r="R555" s="3">
        <f t="shared" si="7"/>
        <v>4566</v>
      </c>
    </row>
    <row r="556">
      <c r="A556" s="7" t="s">
        <v>141</v>
      </c>
      <c r="B556" s="8" t="s">
        <v>19</v>
      </c>
      <c r="C556" s="8">
        <v>95200.0</v>
      </c>
      <c r="E556" s="3" t="str">
        <f>IFERROR(__xludf.DUMMYFUNCTION("SPLIT(A556,""|"")")," CHQ/Facebook/20221101/Visitjaipur/5676 ")</f>
        <v> CHQ/Facebook/20221101/Visitjaipur/5676 </v>
      </c>
      <c r="F556" s="3" t="str">
        <f>IFERROR(__xludf.DUMMYFUNCTION("SPLIT(E556,""/"")")," CHQ")</f>
        <v> CHQ</v>
      </c>
      <c r="G556" s="3" t="str">
        <f>IFERROR(__xludf.DUMMYFUNCTION("""COMPUTED_VALUE"""),"Facebook")</f>
        <v>Facebook</v>
      </c>
      <c r="H556" s="3">
        <f>IFERROR(__xludf.DUMMYFUNCTION("""COMPUTED_VALUE"""),2.0221101E7)</f>
        <v>20221101</v>
      </c>
      <c r="I556" s="3" t="str">
        <f>IFERROR(__xludf.DUMMYFUNCTION("""COMPUTED_VALUE"""),"Visitjaipur")</f>
        <v>Visitjaipur</v>
      </c>
      <c r="J556" s="3">
        <f>IFERROR(__xludf.DUMMYFUNCTION("""COMPUTED_VALUE"""),5676.0)</f>
        <v>5676</v>
      </c>
      <c r="K556" s="3" t="str">
        <f t="shared" ref="K556:L556" si="560">TRIM(F556)</f>
        <v>CHQ</v>
      </c>
      <c r="L556" s="3" t="str">
        <f t="shared" si="560"/>
        <v>Facebook</v>
      </c>
      <c r="M556" s="3" t="str">
        <f t="shared" si="3"/>
        <v>Facebook</v>
      </c>
      <c r="N556" s="3" t="str">
        <f>IFERROR(__xludf.DUMMYFUNCTION("SPLIT(M556,""&amp;"")"),"Facebook")</f>
        <v>Facebook</v>
      </c>
      <c r="O556" s="3" t="str">
        <f t="shared" si="4"/>
        <v>Facebook</v>
      </c>
      <c r="P556" s="3" t="str">
        <f t="shared" si="5"/>
        <v>Visitjaipur</v>
      </c>
      <c r="Q556" s="3" t="str">
        <f t="shared" si="6"/>
        <v>Visitjaipur</v>
      </c>
      <c r="R556" s="3">
        <f t="shared" si="7"/>
        <v>5676</v>
      </c>
    </row>
    <row r="557">
      <c r="A557" s="7" t="s">
        <v>142</v>
      </c>
      <c r="B557" s="8" t="s">
        <v>19</v>
      </c>
      <c r="C557" s="8">
        <v>87800.0</v>
      </c>
      <c r="E557" s="3" t="str">
        <f>IFERROR(__xludf.DUMMYFUNCTION("SPLIT(A557,""|"")")," VfS/YouTube/20221104/Visitrajasthan/4564 ")</f>
        <v> VfS/YouTube/20221104/Visitrajasthan/4564 </v>
      </c>
      <c r="F557" s="3" t="str">
        <f>IFERROR(__xludf.DUMMYFUNCTION("SPLIT(E557,""/"")")," VfS")</f>
        <v> VfS</v>
      </c>
      <c r="G557" s="3" t="str">
        <f>IFERROR(__xludf.DUMMYFUNCTION("""COMPUTED_VALUE"""),"YouTube")</f>
        <v>YouTube</v>
      </c>
      <c r="H557" s="3">
        <f>IFERROR(__xludf.DUMMYFUNCTION("""COMPUTED_VALUE"""),2.0221104E7)</f>
        <v>20221104</v>
      </c>
      <c r="I557" s="3" t="str">
        <f>IFERROR(__xludf.DUMMYFUNCTION("""COMPUTED_VALUE"""),"Visitrajasthan")</f>
        <v>Visitrajasthan</v>
      </c>
      <c r="J557" s="3">
        <f>IFERROR(__xludf.DUMMYFUNCTION("""COMPUTED_VALUE"""),4564.0)</f>
        <v>4564</v>
      </c>
      <c r="K557" s="3" t="str">
        <f t="shared" ref="K557:L557" si="561">TRIM(F557)</f>
        <v>VfS</v>
      </c>
      <c r="L557" s="3" t="str">
        <f t="shared" si="561"/>
        <v>YouTube</v>
      </c>
      <c r="M557" s="3" t="str">
        <f t="shared" si="3"/>
        <v>Youtube</v>
      </c>
      <c r="N557" s="3" t="str">
        <f>IFERROR(__xludf.DUMMYFUNCTION("SPLIT(M557,""&amp;"")"),"Youtube")</f>
        <v>Youtube</v>
      </c>
      <c r="O557" s="3" t="str">
        <f t="shared" si="4"/>
        <v>Youtube</v>
      </c>
      <c r="P557" s="3" t="str">
        <f t="shared" si="5"/>
        <v>Visitrajasthan</v>
      </c>
      <c r="Q557" s="3" t="str">
        <f t="shared" si="6"/>
        <v>Visitrajasthan</v>
      </c>
      <c r="R557" s="3">
        <f t="shared" si="7"/>
        <v>4564</v>
      </c>
    </row>
    <row r="558">
      <c r="A558" s="7" t="s">
        <v>143</v>
      </c>
      <c r="B558" s="8" t="s">
        <v>19</v>
      </c>
      <c r="C558" s="8">
        <v>71500.0</v>
      </c>
      <c r="E558" s="3" t="str">
        <f>IFERROR(__xludf.DUMMYFUNCTION("SPLIT(A558,""|"")")," NEFT/Instagram/20221107/visitudaipur/4565 ")</f>
        <v> NEFT/Instagram/20221107/visitudaipur/4565 </v>
      </c>
      <c r="F558" s="3" t="str">
        <f>IFERROR(__xludf.DUMMYFUNCTION("SPLIT(E558,""/"")")," NEFT")</f>
        <v> NEFT</v>
      </c>
      <c r="G558" s="3" t="str">
        <f>IFERROR(__xludf.DUMMYFUNCTION("""COMPUTED_VALUE"""),"Instagram")</f>
        <v>Instagram</v>
      </c>
      <c r="H558" s="3">
        <f>IFERROR(__xludf.DUMMYFUNCTION("""COMPUTED_VALUE"""),2.0221107E7)</f>
        <v>20221107</v>
      </c>
      <c r="I558" s="3" t="str">
        <f>IFERROR(__xludf.DUMMYFUNCTION("""COMPUTED_VALUE"""),"visitudaipur")</f>
        <v>visitudaipur</v>
      </c>
      <c r="J558" s="3">
        <f>IFERROR(__xludf.DUMMYFUNCTION("""COMPUTED_VALUE"""),4565.0)</f>
        <v>4565</v>
      </c>
      <c r="K558" s="3" t="str">
        <f t="shared" ref="K558:L558" si="562">TRIM(F558)</f>
        <v>NEFT</v>
      </c>
      <c r="L558" s="3" t="str">
        <f t="shared" si="562"/>
        <v>Instagram</v>
      </c>
      <c r="M558" s="3" t="str">
        <f t="shared" si="3"/>
        <v>Instagram</v>
      </c>
      <c r="N558" s="3" t="str">
        <f>IFERROR(__xludf.DUMMYFUNCTION("SPLIT(M558,""&amp;"")"),"Instagram")</f>
        <v>Instagram</v>
      </c>
      <c r="O558" s="3" t="str">
        <f t="shared" si="4"/>
        <v>Instagram</v>
      </c>
      <c r="P558" s="3" t="str">
        <f t="shared" si="5"/>
        <v>visitudaipur</v>
      </c>
      <c r="Q558" s="3" t="str">
        <f t="shared" si="6"/>
        <v>Visitudaipur</v>
      </c>
      <c r="R558" s="3">
        <f t="shared" si="7"/>
        <v>4565</v>
      </c>
    </row>
    <row r="559">
      <c r="A559" s="7" t="s">
        <v>144</v>
      </c>
      <c r="B559" s="8" t="s">
        <v>19</v>
      </c>
      <c r="C559" s="8">
        <v>95500.0</v>
      </c>
      <c r="E559" s="3" t="str">
        <f>IFERROR(__xludf.DUMMYFUNCTION("SPLIT(A559,""|"")")," CHQ/Offline &amp;/20221110/Visitjodhpur/4566 ")</f>
        <v> CHQ/Offline &amp;/20221110/Visitjodhpur/4566 </v>
      </c>
      <c r="F559" s="3" t="str">
        <f>IFERROR(__xludf.DUMMYFUNCTION("SPLIT(E559,""/"")")," CHQ")</f>
        <v> CHQ</v>
      </c>
      <c r="G559" s="3" t="str">
        <f>IFERROR(__xludf.DUMMYFUNCTION("""COMPUTED_VALUE"""),"Offline &amp;")</f>
        <v>Offline &amp;</v>
      </c>
      <c r="H559" s="3">
        <f>IFERROR(__xludf.DUMMYFUNCTION("""COMPUTED_VALUE"""),2.022111E7)</f>
        <v>20221110</v>
      </c>
      <c r="I559" s="3" t="str">
        <f>IFERROR(__xludf.DUMMYFUNCTION("""COMPUTED_VALUE"""),"Visitjodhpur")</f>
        <v>Visitjodhpur</v>
      </c>
      <c r="J559" s="3">
        <f>IFERROR(__xludf.DUMMYFUNCTION("""COMPUTED_VALUE"""),4566.0)</f>
        <v>4566</v>
      </c>
      <c r="K559" s="3" t="str">
        <f t="shared" ref="K559:L559" si="563">TRIM(F559)</f>
        <v>CHQ</v>
      </c>
      <c r="L559" s="3" t="str">
        <f t="shared" si="563"/>
        <v>Offline &amp;</v>
      </c>
      <c r="M559" s="3" t="str">
        <f t="shared" si="3"/>
        <v>Offline &amp;</v>
      </c>
      <c r="N559" s="3" t="str">
        <f>IFERROR(__xludf.DUMMYFUNCTION("SPLIT(M559,""&amp;"")"),"Offline ")</f>
        <v>Offline </v>
      </c>
      <c r="O559" s="3" t="str">
        <f t="shared" si="4"/>
        <v>Offline</v>
      </c>
      <c r="P559" s="3" t="str">
        <f t="shared" si="5"/>
        <v>Visitjodhpur</v>
      </c>
      <c r="Q559" s="3" t="str">
        <f t="shared" si="6"/>
        <v>Visitjodhpur</v>
      </c>
      <c r="R559" s="3">
        <f t="shared" si="7"/>
        <v>4566</v>
      </c>
    </row>
    <row r="560">
      <c r="A560" s="7" t="s">
        <v>145</v>
      </c>
      <c r="B560" s="8" t="s">
        <v>19</v>
      </c>
      <c r="C560" s="8">
        <v>26800.0</v>
      </c>
      <c r="E560" s="3" t="str">
        <f>IFERROR(__xludf.DUMMYFUNCTION("SPLIT(A560,""|"")")," VfS/Google Ads/20221113/visitJaisalmer/3455 ")</f>
        <v> VfS/Google Ads/20221113/visitJaisalmer/3455 </v>
      </c>
      <c r="F560" s="3" t="str">
        <f>IFERROR(__xludf.DUMMYFUNCTION("SPLIT(E560,""/"")")," VfS")</f>
        <v> VfS</v>
      </c>
      <c r="G560" s="3" t="str">
        <f>IFERROR(__xludf.DUMMYFUNCTION("""COMPUTED_VALUE"""),"Google Ads")</f>
        <v>Google Ads</v>
      </c>
      <c r="H560" s="3">
        <f>IFERROR(__xludf.DUMMYFUNCTION("""COMPUTED_VALUE"""),2.0221113E7)</f>
        <v>20221113</v>
      </c>
      <c r="I560" s="3" t="str">
        <f>IFERROR(__xludf.DUMMYFUNCTION("""COMPUTED_VALUE"""),"visitJaisalmer")</f>
        <v>visitJaisalmer</v>
      </c>
      <c r="J560" s="3">
        <f>IFERROR(__xludf.DUMMYFUNCTION("""COMPUTED_VALUE"""),3455.0)</f>
        <v>3455</v>
      </c>
      <c r="K560" s="3" t="str">
        <f t="shared" ref="K560:L560" si="564">TRIM(F560)</f>
        <v>VfS</v>
      </c>
      <c r="L560" s="3" t="str">
        <f t="shared" si="564"/>
        <v>Google Ads</v>
      </c>
      <c r="M560" s="3" t="str">
        <f t="shared" si="3"/>
        <v>Google Ads</v>
      </c>
      <c r="N560" s="3" t="str">
        <f>IFERROR(__xludf.DUMMYFUNCTION("SPLIT(M560,""&amp;"")"),"Google Ads")</f>
        <v>Google Ads</v>
      </c>
      <c r="O560" s="3" t="str">
        <f t="shared" si="4"/>
        <v>Google Ads</v>
      </c>
      <c r="P560" s="3" t="str">
        <f t="shared" si="5"/>
        <v>visitJaisalmer</v>
      </c>
      <c r="Q560" s="3" t="str">
        <f t="shared" si="6"/>
        <v>Visitjaisalmer</v>
      </c>
      <c r="R560" s="3">
        <f t="shared" si="7"/>
        <v>3455</v>
      </c>
    </row>
    <row r="561">
      <c r="A561" s="7" t="s">
        <v>146</v>
      </c>
      <c r="B561" s="8" t="s">
        <v>19</v>
      </c>
      <c r="C561" s="8">
        <v>41100.0</v>
      </c>
      <c r="E561" s="3" t="str">
        <f>IFERROR(__xludf.DUMMYFUNCTION("SPLIT(A561,""|"")")," VIN/TwiTter/20221116/visitbikaner/5666 ")</f>
        <v> VIN/TwiTter/20221116/visitbikaner/5666 </v>
      </c>
      <c r="F561" s="3" t="str">
        <f>IFERROR(__xludf.DUMMYFUNCTION("SPLIT(E561,""/"")")," VIN")</f>
        <v> VIN</v>
      </c>
      <c r="G561" s="3" t="str">
        <f>IFERROR(__xludf.DUMMYFUNCTION("""COMPUTED_VALUE"""),"TwiTter")</f>
        <v>TwiTter</v>
      </c>
      <c r="H561" s="3">
        <f>IFERROR(__xludf.DUMMYFUNCTION("""COMPUTED_VALUE"""),2.0221116E7)</f>
        <v>20221116</v>
      </c>
      <c r="I561" s="3" t="str">
        <f>IFERROR(__xludf.DUMMYFUNCTION("""COMPUTED_VALUE"""),"visitbikaner")</f>
        <v>visitbikaner</v>
      </c>
      <c r="J561" s="3">
        <f>IFERROR(__xludf.DUMMYFUNCTION("""COMPUTED_VALUE"""),5666.0)</f>
        <v>5666</v>
      </c>
      <c r="K561" s="3" t="str">
        <f t="shared" ref="K561:L561" si="565">TRIM(F561)</f>
        <v>VIN</v>
      </c>
      <c r="L561" s="3" t="str">
        <f t="shared" si="565"/>
        <v>TwiTter</v>
      </c>
      <c r="M561" s="3" t="str">
        <f t="shared" si="3"/>
        <v>Twitter</v>
      </c>
      <c r="N561" s="3" t="str">
        <f>IFERROR(__xludf.DUMMYFUNCTION("SPLIT(M561,""&amp;"")"),"Twitter")</f>
        <v>Twitter</v>
      </c>
      <c r="O561" s="3" t="str">
        <f t="shared" si="4"/>
        <v>Twitter</v>
      </c>
      <c r="P561" s="3" t="str">
        <f t="shared" si="5"/>
        <v>visitbikaner</v>
      </c>
      <c r="Q561" s="3" t="str">
        <f t="shared" si="6"/>
        <v>Visitbikaner</v>
      </c>
      <c r="R561" s="3">
        <f t="shared" si="7"/>
        <v>5666</v>
      </c>
    </row>
    <row r="562">
      <c r="A562" s="7" t="s">
        <v>147</v>
      </c>
      <c r="B562" s="8" t="s">
        <v>19</v>
      </c>
      <c r="C562" s="8">
        <v>30200.0</v>
      </c>
      <c r="E562" s="3" t="str">
        <f>IFERROR(__xludf.DUMMYFUNCTION("SPLIT(A562,""|"")")," NEFT/Facebook/20221119/Visitjaipur/5676 ")</f>
        <v> NEFT/Facebook/20221119/Visitjaipur/5676 </v>
      </c>
      <c r="F562" s="3" t="str">
        <f>IFERROR(__xludf.DUMMYFUNCTION("SPLIT(E562,""/"")")," NEFT")</f>
        <v> NEFT</v>
      </c>
      <c r="G562" s="3" t="str">
        <f>IFERROR(__xludf.DUMMYFUNCTION("""COMPUTED_VALUE"""),"Facebook")</f>
        <v>Facebook</v>
      </c>
      <c r="H562" s="3">
        <f>IFERROR(__xludf.DUMMYFUNCTION("""COMPUTED_VALUE"""),2.0221119E7)</f>
        <v>20221119</v>
      </c>
      <c r="I562" s="3" t="str">
        <f>IFERROR(__xludf.DUMMYFUNCTION("""COMPUTED_VALUE"""),"Visitjaipur")</f>
        <v>Visitjaipur</v>
      </c>
      <c r="J562" s="3">
        <f>IFERROR(__xludf.DUMMYFUNCTION("""COMPUTED_VALUE"""),5676.0)</f>
        <v>5676</v>
      </c>
      <c r="K562" s="3" t="str">
        <f t="shared" ref="K562:L562" si="566">TRIM(F562)</f>
        <v>NEFT</v>
      </c>
      <c r="L562" s="3" t="str">
        <f t="shared" si="566"/>
        <v>Facebook</v>
      </c>
      <c r="M562" s="3" t="str">
        <f t="shared" si="3"/>
        <v>Facebook</v>
      </c>
      <c r="N562" s="3" t="str">
        <f>IFERROR(__xludf.DUMMYFUNCTION("SPLIT(M562,""&amp;"")"),"Facebook")</f>
        <v>Facebook</v>
      </c>
      <c r="O562" s="3" t="str">
        <f t="shared" si="4"/>
        <v>Facebook</v>
      </c>
      <c r="P562" s="3" t="str">
        <f t="shared" si="5"/>
        <v>Visitjaipur</v>
      </c>
      <c r="Q562" s="3" t="str">
        <f t="shared" si="6"/>
        <v>Visitjaipur</v>
      </c>
      <c r="R562" s="3">
        <f t="shared" si="7"/>
        <v>5676</v>
      </c>
    </row>
    <row r="563">
      <c r="A563" s="7" t="s">
        <v>148</v>
      </c>
      <c r="B563" s="8" t="s">
        <v>19</v>
      </c>
      <c r="C563" s="8">
        <v>50600.0</v>
      </c>
      <c r="E563" s="3" t="str">
        <f>IFERROR(__xludf.DUMMYFUNCTION("SPLIT(A563,""|"")")," CHQ/YouTube &amp;/20221122/Visitrajasthan/4564 ")</f>
        <v> CHQ/YouTube &amp;/20221122/Visitrajasthan/4564 </v>
      </c>
      <c r="F563" s="3" t="str">
        <f>IFERROR(__xludf.DUMMYFUNCTION("SPLIT(E563,""/"")")," CHQ")</f>
        <v> CHQ</v>
      </c>
      <c r="G563" s="3" t="str">
        <f>IFERROR(__xludf.DUMMYFUNCTION("""COMPUTED_VALUE"""),"YouTube &amp;")</f>
        <v>YouTube &amp;</v>
      </c>
      <c r="H563" s="3">
        <f>IFERROR(__xludf.DUMMYFUNCTION("""COMPUTED_VALUE"""),2.0221122E7)</f>
        <v>20221122</v>
      </c>
      <c r="I563" s="3" t="str">
        <f>IFERROR(__xludf.DUMMYFUNCTION("""COMPUTED_VALUE"""),"Visitrajasthan")</f>
        <v>Visitrajasthan</v>
      </c>
      <c r="J563" s="3">
        <f>IFERROR(__xludf.DUMMYFUNCTION("""COMPUTED_VALUE"""),4564.0)</f>
        <v>4564</v>
      </c>
      <c r="K563" s="3" t="str">
        <f t="shared" ref="K563:L563" si="567">TRIM(F563)</f>
        <v>CHQ</v>
      </c>
      <c r="L563" s="3" t="str">
        <f t="shared" si="567"/>
        <v>YouTube &amp;</v>
      </c>
      <c r="M563" s="3" t="str">
        <f t="shared" si="3"/>
        <v>Youtube &amp;</v>
      </c>
      <c r="N563" s="3" t="str">
        <f>IFERROR(__xludf.DUMMYFUNCTION("SPLIT(M563,""&amp;"")"),"Youtube ")</f>
        <v>Youtube </v>
      </c>
      <c r="O563" s="3" t="str">
        <f t="shared" si="4"/>
        <v>Youtube</v>
      </c>
      <c r="P563" s="3" t="str">
        <f t="shared" si="5"/>
        <v>Visitrajasthan</v>
      </c>
      <c r="Q563" s="3" t="str">
        <f t="shared" si="6"/>
        <v>Visitrajasthan</v>
      </c>
      <c r="R563" s="3">
        <f t="shared" si="7"/>
        <v>4564</v>
      </c>
    </row>
    <row r="564">
      <c r="A564" s="7" t="s">
        <v>149</v>
      </c>
      <c r="B564" s="8" t="s">
        <v>19</v>
      </c>
      <c r="C564" s="8">
        <v>83200.0</v>
      </c>
      <c r="E564" s="3" t="str">
        <f>IFERROR(__xludf.DUMMYFUNCTION("SPLIT(A564,""|"")")," VfS/Instagram/20221125/visitudaipur/4565 ")</f>
        <v> VfS/Instagram/20221125/visitudaipur/4565 </v>
      </c>
      <c r="F564" s="3" t="str">
        <f>IFERROR(__xludf.DUMMYFUNCTION("SPLIT(E564,""/"")")," VfS")</f>
        <v> VfS</v>
      </c>
      <c r="G564" s="3" t="str">
        <f>IFERROR(__xludf.DUMMYFUNCTION("""COMPUTED_VALUE"""),"Instagram")</f>
        <v>Instagram</v>
      </c>
      <c r="H564" s="3">
        <f>IFERROR(__xludf.DUMMYFUNCTION("""COMPUTED_VALUE"""),2.0221125E7)</f>
        <v>20221125</v>
      </c>
      <c r="I564" s="3" t="str">
        <f>IFERROR(__xludf.DUMMYFUNCTION("""COMPUTED_VALUE"""),"visitudaipur")</f>
        <v>visitudaipur</v>
      </c>
      <c r="J564" s="3">
        <f>IFERROR(__xludf.DUMMYFUNCTION("""COMPUTED_VALUE"""),4565.0)</f>
        <v>4565</v>
      </c>
      <c r="K564" s="3" t="str">
        <f t="shared" ref="K564:L564" si="568">TRIM(F564)</f>
        <v>VfS</v>
      </c>
      <c r="L564" s="3" t="str">
        <f t="shared" si="568"/>
        <v>Instagram</v>
      </c>
      <c r="M564" s="3" t="str">
        <f t="shared" si="3"/>
        <v>Instagram</v>
      </c>
      <c r="N564" s="3" t="str">
        <f>IFERROR(__xludf.DUMMYFUNCTION("SPLIT(M564,""&amp;"")"),"Instagram")</f>
        <v>Instagram</v>
      </c>
      <c r="O564" s="3" t="str">
        <f t="shared" si="4"/>
        <v>Instagram</v>
      </c>
      <c r="P564" s="3" t="str">
        <f t="shared" si="5"/>
        <v>visitudaipur</v>
      </c>
      <c r="Q564" s="3" t="str">
        <f t="shared" si="6"/>
        <v>Visitudaipur</v>
      </c>
      <c r="R564" s="3">
        <f t="shared" si="7"/>
        <v>4565</v>
      </c>
    </row>
    <row r="565">
      <c r="A565" s="7" t="s">
        <v>150</v>
      </c>
      <c r="B565" s="8" t="s">
        <v>19</v>
      </c>
      <c r="C565" s="8">
        <v>36600.0</v>
      </c>
      <c r="E565" s="3" t="str">
        <f>IFERROR(__xludf.DUMMYFUNCTION("SPLIT(A565,""|"")")," VIN/OfflINe &amp;/20221128/Visitjodhpur/4566 ")</f>
        <v> VIN/OfflINe &amp;/20221128/Visitjodhpur/4566 </v>
      </c>
      <c r="F565" s="3" t="str">
        <f>IFERROR(__xludf.DUMMYFUNCTION("SPLIT(E565,""/"")")," VIN")</f>
        <v> VIN</v>
      </c>
      <c r="G565" s="3" t="str">
        <f>IFERROR(__xludf.DUMMYFUNCTION("""COMPUTED_VALUE"""),"OfflINe &amp;")</f>
        <v>OfflINe &amp;</v>
      </c>
      <c r="H565" s="3">
        <f>IFERROR(__xludf.DUMMYFUNCTION("""COMPUTED_VALUE"""),2.0221128E7)</f>
        <v>20221128</v>
      </c>
      <c r="I565" s="3" t="str">
        <f>IFERROR(__xludf.DUMMYFUNCTION("""COMPUTED_VALUE"""),"Visitjodhpur")</f>
        <v>Visitjodhpur</v>
      </c>
      <c r="J565" s="3">
        <f>IFERROR(__xludf.DUMMYFUNCTION("""COMPUTED_VALUE"""),4566.0)</f>
        <v>4566</v>
      </c>
      <c r="K565" s="3" t="str">
        <f t="shared" ref="K565:L565" si="569">TRIM(F565)</f>
        <v>VIN</v>
      </c>
      <c r="L565" s="3" t="str">
        <f t="shared" si="569"/>
        <v>OfflINe &amp;</v>
      </c>
      <c r="M565" s="3" t="str">
        <f t="shared" si="3"/>
        <v>Offline &amp;</v>
      </c>
      <c r="N565" s="3" t="str">
        <f>IFERROR(__xludf.DUMMYFUNCTION("SPLIT(M565,""&amp;"")"),"Offline ")</f>
        <v>Offline </v>
      </c>
      <c r="O565" s="3" t="str">
        <f t="shared" si="4"/>
        <v>Offline</v>
      </c>
      <c r="P565" s="3" t="str">
        <f t="shared" si="5"/>
        <v>Visitjodhpur</v>
      </c>
      <c r="Q565" s="3" t="str">
        <f t="shared" si="6"/>
        <v>Visitjodhpur</v>
      </c>
      <c r="R565" s="3">
        <f t="shared" si="7"/>
        <v>4566</v>
      </c>
    </row>
    <row r="566">
      <c r="A566" s="7" t="s">
        <v>121</v>
      </c>
      <c r="B566" s="8" t="s">
        <v>20</v>
      </c>
      <c r="C566" s="8">
        <v>74600.0</v>
      </c>
      <c r="E566" s="3" t="str">
        <f>IFERROR(__xludf.DUMMYFUNCTION("SPLIT(A566,""|"")")," CHQ/Facebook/20221201/Visitjaipur/5676 ")</f>
        <v> CHQ/Facebook/20221201/Visitjaipur/5676 </v>
      </c>
      <c r="F566" s="3" t="str">
        <f>IFERROR(__xludf.DUMMYFUNCTION("SPLIT(E566,""/"")")," CHQ")</f>
        <v> CHQ</v>
      </c>
      <c r="G566" s="3" t="str">
        <f>IFERROR(__xludf.DUMMYFUNCTION("""COMPUTED_VALUE"""),"Facebook")</f>
        <v>Facebook</v>
      </c>
      <c r="H566" s="3">
        <f>IFERROR(__xludf.DUMMYFUNCTION("""COMPUTED_VALUE"""),2.0221201E7)</f>
        <v>20221201</v>
      </c>
      <c r="I566" s="3" t="str">
        <f>IFERROR(__xludf.DUMMYFUNCTION("""COMPUTED_VALUE"""),"Visitjaipur")</f>
        <v>Visitjaipur</v>
      </c>
      <c r="J566" s="3">
        <f>IFERROR(__xludf.DUMMYFUNCTION("""COMPUTED_VALUE"""),5676.0)</f>
        <v>5676</v>
      </c>
      <c r="K566" s="3" t="str">
        <f t="shared" ref="K566:L566" si="570">TRIM(F566)</f>
        <v>CHQ</v>
      </c>
      <c r="L566" s="3" t="str">
        <f t="shared" si="570"/>
        <v>Facebook</v>
      </c>
      <c r="M566" s="3" t="str">
        <f t="shared" si="3"/>
        <v>Facebook</v>
      </c>
      <c r="N566" s="3" t="str">
        <f>IFERROR(__xludf.DUMMYFUNCTION("SPLIT(M566,""&amp;"")"),"Facebook")</f>
        <v>Facebook</v>
      </c>
      <c r="O566" s="3" t="str">
        <f t="shared" si="4"/>
        <v>Facebook</v>
      </c>
      <c r="P566" s="3" t="str">
        <f t="shared" si="5"/>
        <v>Visitjaipur</v>
      </c>
      <c r="Q566" s="3" t="str">
        <f t="shared" si="6"/>
        <v>Visitjaipur</v>
      </c>
      <c r="R566" s="3">
        <f t="shared" si="7"/>
        <v>5676</v>
      </c>
    </row>
    <row r="567">
      <c r="A567" s="7" t="s">
        <v>122</v>
      </c>
      <c r="B567" s="8" t="s">
        <v>20</v>
      </c>
      <c r="C567" s="8">
        <v>85000.0</v>
      </c>
      <c r="E567" s="3" t="str">
        <f>IFERROR(__xludf.DUMMYFUNCTION("SPLIT(A567,""|"")")," VfS/YouTube/20221204/Visitrajasthan/4564 ")</f>
        <v> VfS/YouTube/20221204/Visitrajasthan/4564 </v>
      </c>
      <c r="F567" s="3" t="str">
        <f>IFERROR(__xludf.DUMMYFUNCTION("SPLIT(E567,""/"")")," VfS")</f>
        <v> VfS</v>
      </c>
      <c r="G567" s="3" t="str">
        <f>IFERROR(__xludf.DUMMYFUNCTION("""COMPUTED_VALUE"""),"YouTube")</f>
        <v>YouTube</v>
      </c>
      <c r="H567" s="3">
        <f>IFERROR(__xludf.DUMMYFUNCTION("""COMPUTED_VALUE"""),2.0221204E7)</f>
        <v>20221204</v>
      </c>
      <c r="I567" s="3" t="str">
        <f>IFERROR(__xludf.DUMMYFUNCTION("""COMPUTED_VALUE"""),"Visitrajasthan")</f>
        <v>Visitrajasthan</v>
      </c>
      <c r="J567" s="3">
        <f>IFERROR(__xludf.DUMMYFUNCTION("""COMPUTED_VALUE"""),4564.0)</f>
        <v>4564</v>
      </c>
      <c r="K567" s="3" t="str">
        <f t="shared" ref="K567:L567" si="571">TRIM(F567)</f>
        <v>VfS</v>
      </c>
      <c r="L567" s="3" t="str">
        <f t="shared" si="571"/>
        <v>YouTube</v>
      </c>
      <c r="M567" s="3" t="str">
        <f t="shared" si="3"/>
        <v>Youtube</v>
      </c>
      <c r="N567" s="3" t="str">
        <f>IFERROR(__xludf.DUMMYFUNCTION("SPLIT(M567,""&amp;"")"),"Youtube")</f>
        <v>Youtube</v>
      </c>
      <c r="O567" s="3" t="str">
        <f t="shared" si="4"/>
        <v>Youtube</v>
      </c>
      <c r="P567" s="3" t="str">
        <f t="shared" si="5"/>
        <v>Visitrajasthan</v>
      </c>
      <c r="Q567" s="3" t="str">
        <f t="shared" si="6"/>
        <v>Visitrajasthan</v>
      </c>
      <c r="R567" s="3">
        <f t="shared" si="7"/>
        <v>4564</v>
      </c>
    </row>
    <row r="568">
      <c r="A568" s="7" t="s">
        <v>123</v>
      </c>
      <c r="B568" s="8" t="s">
        <v>20</v>
      </c>
      <c r="C568" s="8">
        <v>37100.0</v>
      </c>
      <c r="E568" s="3" t="str">
        <f>IFERROR(__xludf.DUMMYFUNCTION("SPLIT(A568,""|"")")," NEFT/Instagram/20221207/visitudaipur/4565 ")</f>
        <v> NEFT/Instagram/20221207/visitudaipur/4565 </v>
      </c>
      <c r="F568" s="3" t="str">
        <f>IFERROR(__xludf.DUMMYFUNCTION("SPLIT(E568,""/"")")," NEFT")</f>
        <v> NEFT</v>
      </c>
      <c r="G568" s="3" t="str">
        <f>IFERROR(__xludf.DUMMYFUNCTION("""COMPUTED_VALUE"""),"Instagram")</f>
        <v>Instagram</v>
      </c>
      <c r="H568" s="3">
        <f>IFERROR(__xludf.DUMMYFUNCTION("""COMPUTED_VALUE"""),2.0221207E7)</f>
        <v>20221207</v>
      </c>
      <c r="I568" s="3" t="str">
        <f>IFERROR(__xludf.DUMMYFUNCTION("""COMPUTED_VALUE"""),"visitudaipur")</f>
        <v>visitudaipur</v>
      </c>
      <c r="J568" s="3">
        <f>IFERROR(__xludf.DUMMYFUNCTION("""COMPUTED_VALUE"""),4565.0)</f>
        <v>4565</v>
      </c>
      <c r="K568" s="3" t="str">
        <f t="shared" ref="K568:L568" si="572">TRIM(F568)</f>
        <v>NEFT</v>
      </c>
      <c r="L568" s="3" t="str">
        <f t="shared" si="572"/>
        <v>Instagram</v>
      </c>
      <c r="M568" s="3" t="str">
        <f t="shared" si="3"/>
        <v>Instagram</v>
      </c>
      <c r="N568" s="3" t="str">
        <f>IFERROR(__xludf.DUMMYFUNCTION("SPLIT(M568,""&amp;"")"),"Instagram")</f>
        <v>Instagram</v>
      </c>
      <c r="O568" s="3" t="str">
        <f t="shared" si="4"/>
        <v>Instagram</v>
      </c>
      <c r="P568" s="3" t="str">
        <f t="shared" si="5"/>
        <v>visitudaipur</v>
      </c>
      <c r="Q568" s="3" t="str">
        <f t="shared" si="6"/>
        <v>Visitudaipur</v>
      </c>
      <c r="R568" s="3">
        <f t="shared" si="7"/>
        <v>4565</v>
      </c>
    </row>
    <row r="569">
      <c r="A569" s="7" t="s">
        <v>124</v>
      </c>
      <c r="B569" s="8" t="s">
        <v>20</v>
      </c>
      <c r="C569" s="8">
        <v>84000.0</v>
      </c>
      <c r="E569" s="3" t="str">
        <f>IFERROR(__xludf.DUMMYFUNCTION("SPLIT(A569,""|"")")," CHQ/Offline &amp;/20221210/Visitjodhpur/4566 ")</f>
        <v> CHQ/Offline &amp;/20221210/Visitjodhpur/4566 </v>
      </c>
      <c r="F569" s="3" t="str">
        <f>IFERROR(__xludf.DUMMYFUNCTION("SPLIT(E569,""/"")")," CHQ")</f>
        <v> CHQ</v>
      </c>
      <c r="G569" s="3" t="str">
        <f>IFERROR(__xludf.DUMMYFUNCTION("""COMPUTED_VALUE"""),"Offline &amp;")</f>
        <v>Offline &amp;</v>
      </c>
      <c r="H569" s="3">
        <f>IFERROR(__xludf.DUMMYFUNCTION("""COMPUTED_VALUE"""),2.022121E7)</f>
        <v>20221210</v>
      </c>
      <c r="I569" s="3" t="str">
        <f>IFERROR(__xludf.DUMMYFUNCTION("""COMPUTED_VALUE"""),"Visitjodhpur")</f>
        <v>Visitjodhpur</v>
      </c>
      <c r="J569" s="3">
        <f>IFERROR(__xludf.DUMMYFUNCTION("""COMPUTED_VALUE"""),4566.0)</f>
        <v>4566</v>
      </c>
      <c r="K569" s="3" t="str">
        <f t="shared" ref="K569:L569" si="573">TRIM(F569)</f>
        <v>CHQ</v>
      </c>
      <c r="L569" s="3" t="str">
        <f t="shared" si="573"/>
        <v>Offline &amp;</v>
      </c>
      <c r="M569" s="3" t="str">
        <f t="shared" si="3"/>
        <v>Offline &amp;</v>
      </c>
      <c r="N569" s="3" t="str">
        <f>IFERROR(__xludf.DUMMYFUNCTION("SPLIT(M569,""&amp;"")"),"Offline ")</f>
        <v>Offline </v>
      </c>
      <c r="O569" s="3" t="str">
        <f t="shared" si="4"/>
        <v>Offline</v>
      </c>
      <c r="P569" s="3" t="str">
        <f t="shared" si="5"/>
        <v>Visitjodhpur</v>
      </c>
      <c r="Q569" s="3" t="str">
        <f t="shared" si="6"/>
        <v>Visitjodhpur</v>
      </c>
      <c r="R569" s="3">
        <f t="shared" si="7"/>
        <v>4566</v>
      </c>
    </row>
    <row r="570">
      <c r="A570" s="7" t="s">
        <v>125</v>
      </c>
      <c r="B570" s="8" t="s">
        <v>20</v>
      </c>
      <c r="C570" s="8">
        <v>52000.0</v>
      </c>
      <c r="E570" s="3" t="str">
        <f>IFERROR(__xludf.DUMMYFUNCTION("SPLIT(A570,""|"")")," VfS/Google Ads/20221213/visitJaisalmer/3455 ")</f>
        <v> VfS/Google Ads/20221213/visitJaisalmer/3455 </v>
      </c>
      <c r="F570" s="3" t="str">
        <f>IFERROR(__xludf.DUMMYFUNCTION("SPLIT(E570,""/"")")," VfS")</f>
        <v> VfS</v>
      </c>
      <c r="G570" s="3" t="str">
        <f>IFERROR(__xludf.DUMMYFUNCTION("""COMPUTED_VALUE"""),"Google Ads")</f>
        <v>Google Ads</v>
      </c>
      <c r="H570" s="3">
        <f>IFERROR(__xludf.DUMMYFUNCTION("""COMPUTED_VALUE"""),2.0221213E7)</f>
        <v>20221213</v>
      </c>
      <c r="I570" s="3" t="str">
        <f>IFERROR(__xludf.DUMMYFUNCTION("""COMPUTED_VALUE"""),"visitJaisalmer")</f>
        <v>visitJaisalmer</v>
      </c>
      <c r="J570" s="3">
        <f>IFERROR(__xludf.DUMMYFUNCTION("""COMPUTED_VALUE"""),3455.0)</f>
        <v>3455</v>
      </c>
      <c r="K570" s="3" t="str">
        <f t="shared" ref="K570:L570" si="574">TRIM(F570)</f>
        <v>VfS</v>
      </c>
      <c r="L570" s="3" t="str">
        <f t="shared" si="574"/>
        <v>Google Ads</v>
      </c>
      <c r="M570" s="3" t="str">
        <f t="shared" si="3"/>
        <v>Google Ads</v>
      </c>
      <c r="N570" s="3" t="str">
        <f>IFERROR(__xludf.DUMMYFUNCTION("SPLIT(M570,""&amp;"")"),"Google Ads")</f>
        <v>Google Ads</v>
      </c>
      <c r="O570" s="3" t="str">
        <f t="shared" si="4"/>
        <v>Google Ads</v>
      </c>
      <c r="P570" s="3" t="str">
        <f t="shared" si="5"/>
        <v>visitJaisalmer</v>
      </c>
      <c r="Q570" s="3" t="str">
        <f t="shared" si="6"/>
        <v>Visitjaisalmer</v>
      </c>
      <c r="R570" s="3">
        <f t="shared" si="7"/>
        <v>3455</v>
      </c>
    </row>
    <row r="571">
      <c r="A571" s="7" t="s">
        <v>126</v>
      </c>
      <c r="B571" s="8" t="s">
        <v>20</v>
      </c>
      <c r="C571" s="8">
        <v>13600.0</v>
      </c>
      <c r="E571" s="3" t="str">
        <f>IFERROR(__xludf.DUMMYFUNCTION("SPLIT(A571,""|"")")," VIN/TwiTter/20221216/visitbikaner/5666 ")</f>
        <v> VIN/TwiTter/20221216/visitbikaner/5666 </v>
      </c>
      <c r="F571" s="3" t="str">
        <f>IFERROR(__xludf.DUMMYFUNCTION("SPLIT(E571,""/"")")," VIN")</f>
        <v> VIN</v>
      </c>
      <c r="G571" s="3" t="str">
        <f>IFERROR(__xludf.DUMMYFUNCTION("""COMPUTED_VALUE"""),"TwiTter")</f>
        <v>TwiTter</v>
      </c>
      <c r="H571" s="3">
        <f>IFERROR(__xludf.DUMMYFUNCTION("""COMPUTED_VALUE"""),2.0221216E7)</f>
        <v>20221216</v>
      </c>
      <c r="I571" s="3" t="str">
        <f>IFERROR(__xludf.DUMMYFUNCTION("""COMPUTED_VALUE"""),"visitbikaner")</f>
        <v>visitbikaner</v>
      </c>
      <c r="J571" s="3">
        <f>IFERROR(__xludf.DUMMYFUNCTION("""COMPUTED_VALUE"""),5666.0)</f>
        <v>5666</v>
      </c>
      <c r="K571" s="3" t="str">
        <f t="shared" ref="K571:L571" si="575">TRIM(F571)</f>
        <v>VIN</v>
      </c>
      <c r="L571" s="3" t="str">
        <f t="shared" si="575"/>
        <v>TwiTter</v>
      </c>
      <c r="M571" s="3" t="str">
        <f t="shared" si="3"/>
        <v>Twitter</v>
      </c>
      <c r="N571" s="3" t="str">
        <f>IFERROR(__xludf.DUMMYFUNCTION("SPLIT(M571,""&amp;"")"),"Twitter")</f>
        <v>Twitter</v>
      </c>
      <c r="O571" s="3" t="str">
        <f t="shared" si="4"/>
        <v>Twitter</v>
      </c>
      <c r="P571" s="3" t="str">
        <f t="shared" si="5"/>
        <v>visitbikaner</v>
      </c>
      <c r="Q571" s="3" t="str">
        <f t="shared" si="6"/>
        <v>Visitbikaner</v>
      </c>
      <c r="R571" s="3">
        <f t="shared" si="7"/>
        <v>5666</v>
      </c>
    </row>
    <row r="572">
      <c r="A572" s="7" t="s">
        <v>127</v>
      </c>
      <c r="B572" s="8" t="s">
        <v>20</v>
      </c>
      <c r="C572" s="8">
        <v>56700.0</v>
      </c>
      <c r="E572" s="3" t="str">
        <f>IFERROR(__xludf.DUMMYFUNCTION("SPLIT(A572,""|"")")," NEFT/Facebook/20221219/Visitjaipur/5676 ")</f>
        <v> NEFT/Facebook/20221219/Visitjaipur/5676 </v>
      </c>
      <c r="F572" s="3" t="str">
        <f>IFERROR(__xludf.DUMMYFUNCTION("SPLIT(E572,""/"")")," NEFT")</f>
        <v> NEFT</v>
      </c>
      <c r="G572" s="3" t="str">
        <f>IFERROR(__xludf.DUMMYFUNCTION("""COMPUTED_VALUE"""),"Facebook")</f>
        <v>Facebook</v>
      </c>
      <c r="H572" s="3">
        <f>IFERROR(__xludf.DUMMYFUNCTION("""COMPUTED_VALUE"""),2.0221219E7)</f>
        <v>20221219</v>
      </c>
      <c r="I572" s="3" t="str">
        <f>IFERROR(__xludf.DUMMYFUNCTION("""COMPUTED_VALUE"""),"Visitjaipur")</f>
        <v>Visitjaipur</v>
      </c>
      <c r="J572" s="3">
        <f>IFERROR(__xludf.DUMMYFUNCTION("""COMPUTED_VALUE"""),5676.0)</f>
        <v>5676</v>
      </c>
      <c r="K572" s="3" t="str">
        <f t="shared" ref="K572:L572" si="576">TRIM(F572)</f>
        <v>NEFT</v>
      </c>
      <c r="L572" s="3" t="str">
        <f t="shared" si="576"/>
        <v>Facebook</v>
      </c>
      <c r="M572" s="3" t="str">
        <f t="shared" si="3"/>
        <v>Facebook</v>
      </c>
      <c r="N572" s="3" t="str">
        <f>IFERROR(__xludf.DUMMYFUNCTION("SPLIT(M572,""&amp;"")"),"Facebook")</f>
        <v>Facebook</v>
      </c>
      <c r="O572" s="3" t="str">
        <f t="shared" si="4"/>
        <v>Facebook</v>
      </c>
      <c r="P572" s="3" t="str">
        <f t="shared" si="5"/>
        <v>Visitjaipur</v>
      </c>
      <c r="Q572" s="3" t="str">
        <f t="shared" si="6"/>
        <v>Visitjaipur</v>
      </c>
      <c r="R572" s="3">
        <f t="shared" si="7"/>
        <v>5676</v>
      </c>
    </row>
    <row r="573">
      <c r="A573" s="7" t="s">
        <v>128</v>
      </c>
      <c r="B573" s="8" t="s">
        <v>20</v>
      </c>
      <c r="C573" s="8">
        <v>58100.0</v>
      </c>
      <c r="E573" s="3" t="str">
        <f>IFERROR(__xludf.DUMMYFUNCTION("SPLIT(A573,""|"")")," CHQ/YouTube &amp;/20221222/Visitrajasthan/4564 ")</f>
        <v> CHQ/YouTube &amp;/20221222/Visitrajasthan/4564 </v>
      </c>
      <c r="F573" s="3" t="str">
        <f>IFERROR(__xludf.DUMMYFUNCTION("SPLIT(E573,""/"")")," CHQ")</f>
        <v> CHQ</v>
      </c>
      <c r="G573" s="3" t="str">
        <f>IFERROR(__xludf.DUMMYFUNCTION("""COMPUTED_VALUE"""),"YouTube &amp;")</f>
        <v>YouTube &amp;</v>
      </c>
      <c r="H573" s="3">
        <f>IFERROR(__xludf.DUMMYFUNCTION("""COMPUTED_VALUE"""),2.0221222E7)</f>
        <v>20221222</v>
      </c>
      <c r="I573" s="3" t="str">
        <f>IFERROR(__xludf.DUMMYFUNCTION("""COMPUTED_VALUE"""),"Visitrajasthan")</f>
        <v>Visitrajasthan</v>
      </c>
      <c r="J573" s="3">
        <f>IFERROR(__xludf.DUMMYFUNCTION("""COMPUTED_VALUE"""),4564.0)</f>
        <v>4564</v>
      </c>
      <c r="K573" s="3" t="str">
        <f t="shared" ref="K573:L573" si="577">TRIM(F573)</f>
        <v>CHQ</v>
      </c>
      <c r="L573" s="3" t="str">
        <f t="shared" si="577"/>
        <v>YouTube &amp;</v>
      </c>
      <c r="M573" s="3" t="str">
        <f t="shared" si="3"/>
        <v>Youtube &amp;</v>
      </c>
      <c r="N573" s="3" t="str">
        <f>IFERROR(__xludf.DUMMYFUNCTION("SPLIT(M573,""&amp;"")"),"Youtube ")</f>
        <v>Youtube </v>
      </c>
      <c r="O573" s="3" t="str">
        <f t="shared" si="4"/>
        <v>Youtube</v>
      </c>
      <c r="P573" s="3" t="str">
        <f t="shared" si="5"/>
        <v>Visitrajasthan</v>
      </c>
      <c r="Q573" s="3" t="str">
        <f t="shared" si="6"/>
        <v>Visitrajasthan</v>
      </c>
      <c r="R573" s="3">
        <f t="shared" si="7"/>
        <v>4564</v>
      </c>
    </row>
    <row r="574">
      <c r="A574" s="7" t="s">
        <v>129</v>
      </c>
      <c r="B574" s="8" t="s">
        <v>20</v>
      </c>
      <c r="C574" s="8">
        <v>86800.0</v>
      </c>
      <c r="E574" s="3" t="str">
        <f>IFERROR(__xludf.DUMMYFUNCTION("SPLIT(A574,""|"")")," VfS/Instagram/20221225/visitudaipur/4565 ")</f>
        <v> VfS/Instagram/20221225/visitudaipur/4565 </v>
      </c>
      <c r="F574" s="3" t="str">
        <f>IFERROR(__xludf.DUMMYFUNCTION("SPLIT(E574,""/"")")," VfS")</f>
        <v> VfS</v>
      </c>
      <c r="G574" s="3" t="str">
        <f>IFERROR(__xludf.DUMMYFUNCTION("""COMPUTED_VALUE"""),"Instagram")</f>
        <v>Instagram</v>
      </c>
      <c r="H574" s="3">
        <f>IFERROR(__xludf.DUMMYFUNCTION("""COMPUTED_VALUE"""),2.0221225E7)</f>
        <v>20221225</v>
      </c>
      <c r="I574" s="3" t="str">
        <f>IFERROR(__xludf.DUMMYFUNCTION("""COMPUTED_VALUE"""),"visitudaipur")</f>
        <v>visitudaipur</v>
      </c>
      <c r="J574" s="3">
        <f>IFERROR(__xludf.DUMMYFUNCTION("""COMPUTED_VALUE"""),4565.0)</f>
        <v>4565</v>
      </c>
      <c r="K574" s="3" t="str">
        <f t="shared" ref="K574:L574" si="578">TRIM(F574)</f>
        <v>VfS</v>
      </c>
      <c r="L574" s="3" t="str">
        <f t="shared" si="578"/>
        <v>Instagram</v>
      </c>
      <c r="M574" s="3" t="str">
        <f t="shared" si="3"/>
        <v>Instagram</v>
      </c>
      <c r="N574" s="3" t="str">
        <f>IFERROR(__xludf.DUMMYFUNCTION("SPLIT(M574,""&amp;"")"),"Instagram")</f>
        <v>Instagram</v>
      </c>
      <c r="O574" s="3" t="str">
        <f t="shared" si="4"/>
        <v>Instagram</v>
      </c>
      <c r="P574" s="3" t="str">
        <f t="shared" si="5"/>
        <v>visitudaipur</v>
      </c>
      <c r="Q574" s="3" t="str">
        <f t="shared" si="6"/>
        <v>Visitudaipur</v>
      </c>
      <c r="R574" s="3">
        <f t="shared" si="7"/>
        <v>4565</v>
      </c>
    </row>
    <row r="575">
      <c r="A575" s="7" t="s">
        <v>130</v>
      </c>
      <c r="B575" s="8" t="s">
        <v>20</v>
      </c>
      <c r="C575" s="8">
        <v>54500.0</v>
      </c>
      <c r="E575" s="3" t="str">
        <f>IFERROR(__xludf.DUMMYFUNCTION("SPLIT(A575,""|"")")," VIN/OfflINe &amp;/20221228/Visitjodhpur/4566 ")</f>
        <v> VIN/OfflINe &amp;/20221228/Visitjodhpur/4566 </v>
      </c>
      <c r="F575" s="3" t="str">
        <f>IFERROR(__xludf.DUMMYFUNCTION("SPLIT(E575,""/"")")," VIN")</f>
        <v> VIN</v>
      </c>
      <c r="G575" s="3" t="str">
        <f>IFERROR(__xludf.DUMMYFUNCTION("""COMPUTED_VALUE"""),"OfflINe &amp;")</f>
        <v>OfflINe &amp;</v>
      </c>
      <c r="H575" s="3">
        <f>IFERROR(__xludf.DUMMYFUNCTION("""COMPUTED_VALUE"""),2.0221228E7)</f>
        <v>20221228</v>
      </c>
      <c r="I575" s="3" t="str">
        <f>IFERROR(__xludf.DUMMYFUNCTION("""COMPUTED_VALUE"""),"Visitjodhpur")</f>
        <v>Visitjodhpur</v>
      </c>
      <c r="J575" s="3">
        <f>IFERROR(__xludf.DUMMYFUNCTION("""COMPUTED_VALUE"""),4566.0)</f>
        <v>4566</v>
      </c>
      <c r="K575" s="3" t="str">
        <f t="shared" ref="K575:L575" si="579">TRIM(F575)</f>
        <v>VIN</v>
      </c>
      <c r="L575" s="3" t="str">
        <f t="shared" si="579"/>
        <v>OfflINe &amp;</v>
      </c>
      <c r="M575" s="3" t="str">
        <f t="shared" si="3"/>
        <v>Offline &amp;</v>
      </c>
      <c r="N575" s="3" t="str">
        <f>IFERROR(__xludf.DUMMYFUNCTION("SPLIT(M575,""&amp;"")"),"Offline ")</f>
        <v>Offline </v>
      </c>
      <c r="O575" s="3" t="str">
        <f t="shared" si="4"/>
        <v>Offline</v>
      </c>
      <c r="P575" s="3" t="str">
        <f t="shared" si="5"/>
        <v>Visitjodhpur</v>
      </c>
      <c r="Q575" s="3" t="str">
        <f t="shared" si="6"/>
        <v>Visitjodhpur</v>
      </c>
      <c r="R575" s="3">
        <f t="shared" si="7"/>
        <v>4566</v>
      </c>
    </row>
    <row r="576">
      <c r="A576" s="7" t="s">
        <v>158</v>
      </c>
      <c r="B576" s="8" t="s">
        <v>6</v>
      </c>
      <c r="C576" s="8">
        <v>89200.0</v>
      </c>
      <c r="E576" s="3" t="str">
        <f>IFERROR(__xludf.DUMMYFUNCTION("SPLIT(A576,""|"")"),"Vin/Facebook/20221019/Visitrajasthan/5676")</f>
        <v>Vin/Facebook/20221019/Visitrajasthan/5676</v>
      </c>
      <c r="F576" s="3" t="str">
        <f>IFERROR(__xludf.DUMMYFUNCTION("SPLIT(E576,""/"")"),"Vin")</f>
        <v>Vin</v>
      </c>
      <c r="G576" s="3" t="str">
        <f>IFERROR(__xludf.DUMMYFUNCTION("""COMPUTED_VALUE"""),"Facebook")</f>
        <v>Facebook</v>
      </c>
      <c r="H576" s="3">
        <f>IFERROR(__xludf.DUMMYFUNCTION("""COMPUTED_VALUE"""),2.0221019E7)</f>
        <v>20221019</v>
      </c>
      <c r="I576" s="3" t="str">
        <f>IFERROR(__xludf.DUMMYFUNCTION("""COMPUTED_VALUE"""),"Visitrajasthan")</f>
        <v>Visitrajasthan</v>
      </c>
      <c r="J576" s="3">
        <f>IFERROR(__xludf.DUMMYFUNCTION("""COMPUTED_VALUE"""),5676.0)</f>
        <v>5676</v>
      </c>
      <c r="K576" s="3" t="str">
        <f t="shared" ref="K576:L576" si="580">TRIM(F576)</f>
        <v>Vin</v>
      </c>
      <c r="L576" s="3" t="str">
        <f t="shared" si="580"/>
        <v>Facebook</v>
      </c>
      <c r="M576" s="3" t="str">
        <f t="shared" si="3"/>
        <v>Facebook</v>
      </c>
      <c r="N576" s="3" t="str">
        <f>IFERROR(__xludf.DUMMYFUNCTION("SPLIT(M576,""&amp;"")"),"Facebook")</f>
        <v>Facebook</v>
      </c>
      <c r="O576" s="3" t="str">
        <f t="shared" si="4"/>
        <v>Facebook</v>
      </c>
      <c r="P576" s="3" t="str">
        <f t="shared" si="5"/>
        <v>Visitrajasthan</v>
      </c>
      <c r="Q576" s="3" t="str">
        <f t="shared" si="6"/>
        <v>Visitrajasthan</v>
      </c>
      <c r="R576" s="3">
        <f t="shared" si="7"/>
        <v>5676</v>
      </c>
    </row>
    <row r="577">
      <c r="A577" s="7" t="s">
        <v>159</v>
      </c>
      <c r="B577" s="8" t="s">
        <v>6</v>
      </c>
      <c r="C577" s="8">
        <v>95600.0</v>
      </c>
      <c r="E577" s="3" t="str">
        <f>IFERROR(__xludf.DUMMYFUNCTION("SPLIT(A577,""|"")"),"Chq/Youtube/20221022/Visitrajasthan/4564")</f>
        <v>Chq/Youtube/20221022/Visitrajasthan/4564</v>
      </c>
      <c r="F577" s="3" t="str">
        <f>IFERROR(__xludf.DUMMYFUNCTION("SPLIT(E577,""/"")"),"Chq")</f>
        <v>Chq</v>
      </c>
      <c r="G577" s="3" t="str">
        <f>IFERROR(__xludf.DUMMYFUNCTION("""COMPUTED_VALUE"""),"Youtube")</f>
        <v>Youtube</v>
      </c>
      <c r="H577" s="3">
        <f>IFERROR(__xludf.DUMMYFUNCTION("""COMPUTED_VALUE"""),2.0221022E7)</f>
        <v>20221022</v>
      </c>
      <c r="I577" s="3" t="str">
        <f>IFERROR(__xludf.DUMMYFUNCTION("""COMPUTED_VALUE"""),"Visitrajasthan")</f>
        <v>Visitrajasthan</v>
      </c>
      <c r="J577" s="3">
        <f>IFERROR(__xludf.DUMMYFUNCTION("""COMPUTED_VALUE"""),4564.0)</f>
        <v>4564</v>
      </c>
      <c r="K577" s="3" t="str">
        <f t="shared" ref="K577:L577" si="581">TRIM(F577)</f>
        <v>Chq</v>
      </c>
      <c r="L577" s="3" t="str">
        <f t="shared" si="581"/>
        <v>Youtube</v>
      </c>
      <c r="M577" s="3" t="str">
        <f t="shared" si="3"/>
        <v>Youtube</v>
      </c>
      <c r="N577" s="3" t="str">
        <f>IFERROR(__xludf.DUMMYFUNCTION("SPLIT(M577,""&amp;"")"),"Youtube")</f>
        <v>Youtube</v>
      </c>
      <c r="O577" s="3" t="str">
        <f t="shared" si="4"/>
        <v>Youtube</v>
      </c>
      <c r="P577" s="3" t="str">
        <f t="shared" si="5"/>
        <v>Visitrajasthan</v>
      </c>
      <c r="Q577" s="3" t="str">
        <f t="shared" si="6"/>
        <v>Visitrajasthan</v>
      </c>
      <c r="R577" s="3">
        <f t="shared" si="7"/>
        <v>4564</v>
      </c>
    </row>
    <row r="578">
      <c r="A578" s="7" t="s">
        <v>160</v>
      </c>
      <c r="B578" s="8" t="s">
        <v>6</v>
      </c>
      <c r="C578" s="8">
        <v>20700.0</v>
      </c>
      <c r="E578" s="3" t="str">
        <f>IFERROR(__xludf.DUMMYFUNCTION("SPLIT(A578,""|"")"),"Vfs/Instagram/20221025/Visitrajasthan/4565")</f>
        <v>Vfs/Instagram/20221025/Visitrajasthan/4565</v>
      </c>
      <c r="F578" s="3" t="str">
        <f>IFERROR(__xludf.DUMMYFUNCTION("SPLIT(E578,""/"")"),"Vfs")</f>
        <v>Vfs</v>
      </c>
      <c r="G578" s="3" t="str">
        <f>IFERROR(__xludf.DUMMYFUNCTION("""COMPUTED_VALUE"""),"Instagram")</f>
        <v>Instagram</v>
      </c>
      <c r="H578" s="3">
        <f>IFERROR(__xludf.DUMMYFUNCTION("""COMPUTED_VALUE"""),2.0221025E7)</f>
        <v>20221025</v>
      </c>
      <c r="I578" s="3" t="str">
        <f>IFERROR(__xludf.DUMMYFUNCTION("""COMPUTED_VALUE"""),"Visitrajasthan")</f>
        <v>Visitrajasthan</v>
      </c>
      <c r="J578" s="3">
        <f>IFERROR(__xludf.DUMMYFUNCTION("""COMPUTED_VALUE"""),4565.0)</f>
        <v>4565</v>
      </c>
      <c r="K578" s="3" t="str">
        <f t="shared" ref="K578:L578" si="582">TRIM(F578)</f>
        <v>Vfs</v>
      </c>
      <c r="L578" s="3" t="str">
        <f t="shared" si="582"/>
        <v>Instagram</v>
      </c>
      <c r="M578" s="3" t="str">
        <f t="shared" si="3"/>
        <v>Instagram</v>
      </c>
      <c r="N578" s="3" t="str">
        <f>IFERROR(__xludf.DUMMYFUNCTION("SPLIT(M578,""&amp;"")"),"Instagram")</f>
        <v>Instagram</v>
      </c>
      <c r="O578" s="3" t="str">
        <f t="shared" si="4"/>
        <v>Instagram</v>
      </c>
      <c r="P578" s="3" t="str">
        <f t="shared" si="5"/>
        <v>Visitrajasthan</v>
      </c>
      <c r="Q578" s="3" t="str">
        <f t="shared" si="6"/>
        <v>Visitrajasthan</v>
      </c>
      <c r="R578" s="3">
        <f t="shared" si="7"/>
        <v>4565</v>
      </c>
    </row>
    <row r="579">
      <c r="A579" s="7" t="s">
        <v>161</v>
      </c>
      <c r="B579" s="8" t="s">
        <v>6</v>
      </c>
      <c r="C579" s="8">
        <v>23600.0</v>
      </c>
      <c r="E579" s="3" t="str">
        <f>IFERROR(__xludf.DUMMYFUNCTION("SPLIT(A579,""|"")"),"Neft/Offline/20221028/Visitrajasthan/4566")</f>
        <v>Neft/Offline/20221028/Visitrajasthan/4566</v>
      </c>
      <c r="F579" s="3" t="str">
        <f>IFERROR(__xludf.DUMMYFUNCTION("SPLIT(E579,""/"")"),"Neft")</f>
        <v>Neft</v>
      </c>
      <c r="G579" s="3" t="str">
        <f>IFERROR(__xludf.DUMMYFUNCTION("""COMPUTED_VALUE"""),"Offline")</f>
        <v>Offline</v>
      </c>
      <c r="H579" s="3">
        <f>IFERROR(__xludf.DUMMYFUNCTION("""COMPUTED_VALUE"""),2.0221028E7)</f>
        <v>20221028</v>
      </c>
      <c r="I579" s="3" t="str">
        <f>IFERROR(__xludf.DUMMYFUNCTION("""COMPUTED_VALUE"""),"Visitrajasthan")</f>
        <v>Visitrajasthan</v>
      </c>
      <c r="J579" s="3">
        <f>IFERROR(__xludf.DUMMYFUNCTION("""COMPUTED_VALUE"""),4566.0)</f>
        <v>4566</v>
      </c>
      <c r="K579" s="3" t="str">
        <f t="shared" ref="K579:L579" si="583">TRIM(F579)</f>
        <v>Neft</v>
      </c>
      <c r="L579" s="3" t="str">
        <f t="shared" si="583"/>
        <v>Offline</v>
      </c>
      <c r="M579" s="3" t="str">
        <f t="shared" si="3"/>
        <v>Offline</v>
      </c>
      <c r="N579" s="3" t="str">
        <f>IFERROR(__xludf.DUMMYFUNCTION("SPLIT(M579,""&amp;"")"),"Offline")</f>
        <v>Offline</v>
      </c>
      <c r="O579" s="3" t="str">
        <f t="shared" si="4"/>
        <v>Offline</v>
      </c>
      <c r="P579" s="3" t="str">
        <f t="shared" si="5"/>
        <v>Visitrajasthan</v>
      </c>
      <c r="Q579" s="3" t="str">
        <f t="shared" si="6"/>
        <v>Visitrajasthan</v>
      </c>
      <c r="R579" s="3">
        <f t="shared" si="7"/>
        <v>4566</v>
      </c>
    </row>
    <row r="580">
      <c r="A580" s="7" t="s">
        <v>162</v>
      </c>
      <c r="B580" s="8" t="s">
        <v>19</v>
      </c>
      <c r="C580" s="8">
        <v>51400.0</v>
      </c>
      <c r="E580" s="3" t="str">
        <f>IFERROR(__xludf.DUMMYFUNCTION("SPLIT(A580,""|"")"),"Chq/Google Ads/20221101/Visitrajasthan/3455")</f>
        <v>Chq/Google Ads/20221101/Visitrajasthan/3455</v>
      </c>
      <c r="F580" s="3" t="str">
        <f>IFERROR(__xludf.DUMMYFUNCTION("SPLIT(E580,""/"")"),"Chq")</f>
        <v>Chq</v>
      </c>
      <c r="G580" s="3" t="str">
        <f>IFERROR(__xludf.DUMMYFUNCTION("""COMPUTED_VALUE"""),"Google Ads")</f>
        <v>Google Ads</v>
      </c>
      <c r="H580" s="3">
        <f>IFERROR(__xludf.DUMMYFUNCTION("""COMPUTED_VALUE"""),2.0221101E7)</f>
        <v>20221101</v>
      </c>
      <c r="I580" s="3" t="str">
        <f>IFERROR(__xludf.DUMMYFUNCTION("""COMPUTED_VALUE"""),"Visitrajasthan")</f>
        <v>Visitrajasthan</v>
      </c>
      <c r="J580" s="3">
        <f>IFERROR(__xludf.DUMMYFUNCTION("""COMPUTED_VALUE"""),3455.0)</f>
        <v>3455</v>
      </c>
      <c r="K580" s="3" t="str">
        <f t="shared" ref="K580:L580" si="584">TRIM(F580)</f>
        <v>Chq</v>
      </c>
      <c r="L580" s="3" t="str">
        <f t="shared" si="584"/>
        <v>Google Ads</v>
      </c>
      <c r="M580" s="3" t="str">
        <f t="shared" si="3"/>
        <v>Google Ads</v>
      </c>
      <c r="N580" s="3" t="str">
        <f>IFERROR(__xludf.DUMMYFUNCTION("SPLIT(M580,""&amp;"")"),"Google Ads")</f>
        <v>Google Ads</v>
      </c>
      <c r="O580" s="3" t="str">
        <f t="shared" si="4"/>
        <v>Google Ads</v>
      </c>
      <c r="P580" s="3" t="str">
        <f t="shared" si="5"/>
        <v>Visitrajasthan</v>
      </c>
      <c r="Q580" s="3" t="str">
        <f t="shared" si="6"/>
        <v>Visitrajasthan</v>
      </c>
      <c r="R580" s="3">
        <f t="shared" si="7"/>
        <v>3455</v>
      </c>
    </row>
    <row r="581">
      <c r="A581" s="7" t="s">
        <v>163</v>
      </c>
      <c r="B581" s="8" t="s">
        <v>19</v>
      </c>
      <c r="C581" s="8">
        <v>32300.0</v>
      </c>
      <c r="E581" s="3" t="str">
        <f>IFERROR(__xludf.DUMMYFUNCTION("SPLIT(A581,""|"")"),"Vfs/Twitter/20221104/Visitrajasthan/5666")</f>
        <v>Vfs/Twitter/20221104/Visitrajasthan/5666</v>
      </c>
      <c r="F581" s="3" t="str">
        <f>IFERROR(__xludf.DUMMYFUNCTION("SPLIT(E581,""/"")"),"Vfs")</f>
        <v>Vfs</v>
      </c>
      <c r="G581" s="3" t="str">
        <f>IFERROR(__xludf.DUMMYFUNCTION("""COMPUTED_VALUE"""),"Twitter")</f>
        <v>Twitter</v>
      </c>
      <c r="H581" s="3">
        <f>IFERROR(__xludf.DUMMYFUNCTION("""COMPUTED_VALUE"""),2.0221104E7)</f>
        <v>20221104</v>
      </c>
      <c r="I581" s="3" t="str">
        <f>IFERROR(__xludf.DUMMYFUNCTION("""COMPUTED_VALUE"""),"Visitrajasthan")</f>
        <v>Visitrajasthan</v>
      </c>
      <c r="J581" s="3">
        <f>IFERROR(__xludf.DUMMYFUNCTION("""COMPUTED_VALUE"""),5666.0)</f>
        <v>5666</v>
      </c>
      <c r="K581" s="3" t="str">
        <f t="shared" ref="K581:L581" si="585">TRIM(F581)</f>
        <v>Vfs</v>
      </c>
      <c r="L581" s="3" t="str">
        <f t="shared" si="585"/>
        <v>Twitter</v>
      </c>
      <c r="M581" s="3" t="str">
        <f t="shared" si="3"/>
        <v>Twitter</v>
      </c>
      <c r="N581" s="3" t="str">
        <f>IFERROR(__xludf.DUMMYFUNCTION("SPLIT(M581,""&amp;"")"),"Twitter")</f>
        <v>Twitter</v>
      </c>
      <c r="O581" s="3" t="str">
        <f t="shared" si="4"/>
        <v>Twitter</v>
      </c>
      <c r="P581" s="3" t="str">
        <f t="shared" si="5"/>
        <v>Visitrajasthan</v>
      </c>
      <c r="Q581" s="3" t="str">
        <f t="shared" si="6"/>
        <v>Visitrajasthan</v>
      </c>
      <c r="R581" s="3">
        <f t="shared" si="7"/>
        <v>5666</v>
      </c>
    </row>
    <row r="582">
      <c r="A582" s="7" t="s">
        <v>164</v>
      </c>
      <c r="B582" s="8" t="s">
        <v>19</v>
      </c>
      <c r="C582" s="8">
        <v>97600.0</v>
      </c>
      <c r="E582" s="3" t="str">
        <f>IFERROR(__xludf.DUMMYFUNCTION("SPLIT(A582,""|"")"),"Vin/Facebook/20221107/Visitudaipur/5676")</f>
        <v>Vin/Facebook/20221107/Visitudaipur/5676</v>
      </c>
      <c r="F582" s="3" t="str">
        <f>IFERROR(__xludf.DUMMYFUNCTION("SPLIT(E582,""/"")"),"Vin")</f>
        <v>Vin</v>
      </c>
      <c r="G582" s="3" t="str">
        <f>IFERROR(__xludf.DUMMYFUNCTION("""COMPUTED_VALUE"""),"Facebook")</f>
        <v>Facebook</v>
      </c>
      <c r="H582" s="3">
        <f>IFERROR(__xludf.DUMMYFUNCTION("""COMPUTED_VALUE"""),2.0221107E7)</f>
        <v>20221107</v>
      </c>
      <c r="I582" s="3" t="str">
        <f>IFERROR(__xludf.DUMMYFUNCTION("""COMPUTED_VALUE"""),"Visitudaipur")</f>
        <v>Visitudaipur</v>
      </c>
      <c r="J582" s="3">
        <f>IFERROR(__xludf.DUMMYFUNCTION("""COMPUTED_VALUE"""),5676.0)</f>
        <v>5676</v>
      </c>
      <c r="K582" s="3" t="str">
        <f t="shared" ref="K582:L582" si="586">TRIM(F582)</f>
        <v>Vin</v>
      </c>
      <c r="L582" s="3" t="str">
        <f t="shared" si="586"/>
        <v>Facebook</v>
      </c>
      <c r="M582" s="3" t="str">
        <f t="shared" si="3"/>
        <v>Facebook</v>
      </c>
      <c r="N582" s="3" t="str">
        <f>IFERROR(__xludf.DUMMYFUNCTION("SPLIT(M582,""&amp;"")"),"Facebook")</f>
        <v>Facebook</v>
      </c>
      <c r="O582" s="3" t="str">
        <f t="shared" si="4"/>
        <v>Facebook</v>
      </c>
      <c r="P582" s="3" t="str">
        <f t="shared" si="5"/>
        <v>Visitudaipur</v>
      </c>
      <c r="Q582" s="3" t="str">
        <f t="shared" si="6"/>
        <v>Visitudaipur</v>
      </c>
      <c r="R582" s="3">
        <f t="shared" si="7"/>
        <v>5676</v>
      </c>
    </row>
    <row r="583">
      <c r="A583" s="7" t="s">
        <v>165</v>
      </c>
      <c r="B583" s="8" t="s">
        <v>19</v>
      </c>
      <c r="C583" s="8">
        <v>58500.0</v>
      </c>
      <c r="E583" s="3" t="str">
        <f>IFERROR(__xludf.DUMMYFUNCTION("SPLIT(A583,""|"")"),"Neft/Youtube/20221110/Visitudaipur/4564")</f>
        <v>Neft/Youtube/20221110/Visitudaipur/4564</v>
      </c>
      <c r="F583" s="3" t="str">
        <f>IFERROR(__xludf.DUMMYFUNCTION("SPLIT(E583,""/"")"),"Neft")</f>
        <v>Neft</v>
      </c>
      <c r="G583" s="3" t="str">
        <f>IFERROR(__xludf.DUMMYFUNCTION("""COMPUTED_VALUE"""),"Youtube")</f>
        <v>Youtube</v>
      </c>
      <c r="H583" s="3">
        <f>IFERROR(__xludf.DUMMYFUNCTION("""COMPUTED_VALUE"""),2.022111E7)</f>
        <v>20221110</v>
      </c>
      <c r="I583" s="3" t="str">
        <f>IFERROR(__xludf.DUMMYFUNCTION("""COMPUTED_VALUE"""),"Visitudaipur")</f>
        <v>Visitudaipur</v>
      </c>
      <c r="J583" s="3">
        <f>IFERROR(__xludf.DUMMYFUNCTION("""COMPUTED_VALUE"""),4564.0)</f>
        <v>4564</v>
      </c>
      <c r="K583" s="3" t="str">
        <f t="shared" ref="K583:L583" si="587">TRIM(F583)</f>
        <v>Neft</v>
      </c>
      <c r="L583" s="3" t="str">
        <f t="shared" si="587"/>
        <v>Youtube</v>
      </c>
      <c r="M583" s="3" t="str">
        <f t="shared" si="3"/>
        <v>Youtube</v>
      </c>
      <c r="N583" s="3" t="str">
        <f>IFERROR(__xludf.DUMMYFUNCTION("SPLIT(M583,""&amp;"")"),"Youtube")</f>
        <v>Youtube</v>
      </c>
      <c r="O583" s="3" t="str">
        <f t="shared" si="4"/>
        <v>Youtube</v>
      </c>
      <c r="P583" s="3" t="str">
        <f t="shared" si="5"/>
        <v>Visitudaipur</v>
      </c>
      <c r="Q583" s="3" t="str">
        <f t="shared" si="6"/>
        <v>Visitudaipur</v>
      </c>
      <c r="R583" s="3">
        <f t="shared" si="7"/>
        <v>4564</v>
      </c>
    </row>
    <row r="584">
      <c r="A584" s="7" t="s">
        <v>166</v>
      </c>
      <c r="B584" s="8" t="s">
        <v>19</v>
      </c>
      <c r="C584" s="8">
        <v>90200.0</v>
      </c>
      <c r="E584" s="3" t="str">
        <f>IFERROR(__xludf.DUMMYFUNCTION("SPLIT(A584,""|"")"),"Chq/Instagram/20221113/Visitudaipur/4565")</f>
        <v>Chq/Instagram/20221113/Visitudaipur/4565</v>
      </c>
      <c r="F584" s="3" t="str">
        <f>IFERROR(__xludf.DUMMYFUNCTION("SPLIT(E584,""/"")"),"Chq")</f>
        <v>Chq</v>
      </c>
      <c r="G584" s="3" t="str">
        <f>IFERROR(__xludf.DUMMYFUNCTION("""COMPUTED_VALUE"""),"Instagram")</f>
        <v>Instagram</v>
      </c>
      <c r="H584" s="3">
        <f>IFERROR(__xludf.DUMMYFUNCTION("""COMPUTED_VALUE"""),2.0221113E7)</f>
        <v>20221113</v>
      </c>
      <c r="I584" s="3" t="str">
        <f>IFERROR(__xludf.DUMMYFUNCTION("""COMPUTED_VALUE"""),"Visitudaipur")</f>
        <v>Visitudaipur</v>
      </c>
      <c r="J584" s="3">
        <f>IFERROR(__xludf.DUMMYFUNCTION("""COMPUTED_VALUE"""),4565.0)</f>
        <v>4565</v>
      </c>
      <c r="K584" s="3" t="str">
        <f t="shared" ref="K584:L584" si="588">TRIM(F584)</f>
        <v>Chq</v>
      </c>
      <c r="L584" s="3" t="str">
        <f t="shared" si="588"/>
        <v>Instagram</v>
      </c>
      <c r="M584" s="3" t="str">
        <f t="shared" si="3"/>
        <v>Instagram</v>
      </c>
      <c r="N584" s="3" t="str">
        <f>IFERROR(__xludf.DUMMYFUNCTION("SPLIT(M584,""&amp;"")"),"Instagram")</f>
        <v>Instagram</v>
      </c>
      <c r="O584" s="3" t="str">
        <f t="shared" si="4"/>
        <v>Instagram</v>
      </c>
      <c r="P584" s="3" t="str">
        <f t="shared" si="5"/>
        <v>Visitudaipur</v>
      </c>
      <c r="Q584" s="3" t="str">
        <f t="shared" si="6"/>
        <v>Visitudaipur</v>
      </c>
      <c r="R584" s="3">
        <f t="shared" si="7"/>
        <v>4565</v>
      </c>
    </row>
    <row r="585">
      <c r="A585" s="7" t="s">
        <v>167</v>
      </c>
      <c r="B585" s="8" t="s">
        <v>19</v>
      </c>
      <c r="C585" s="8">
        <v>40200.0</v>
      </c>
      <c r="E585" s="3" t="str">
        <f>IFERROR(__xludf.DUMMYFUNCTION("SPLIT(A585,""|"")"),"Vfs/Offline/20221116/Visitudaipur/4566")</f>
        <v>Vfs/Offline/20221116/Visitudaipur/4566</v>
      </c>
      <c r="F585" s="3" t="str">
        <f>IFERROR(__xludf.DUMMYFUNCTION("SPLIT(E585,""/"")"),"Vfs")</f>
        <v>Vfs</v>
      </c>
      <c r="G585" s="3" t="str">
        <f>IFERROR(__xludf.DUMMYFUNCTION("""COMPUTED_VALUE"""),"Offline")</f>
        <v>Offline</v>
      </c>
      <c r="H585" s="3">
        <f>IFERROR(__xludf.DUMMYFUNCTION("""COMPUTED_VALUE"""),2.0221116E7)</f>
        <v>20221116</v>
      </c>
      <c r="I585" s="3" t="str">
        <f>IFERROR(__xludf.DUMMYFUNCTION("""COMPUTED_VALUE"""),"Visitudaipur")</f>
        <v>Visitudaipur</v>
      </c>
      <c r="J585" s="3">
        <f>IFERROR(__xludf.DUMMYFUNCTION("""COMPUTED_VALUE"""),4566.0)</f>
        <v>4566</v>
      </c>
      <c r="K585" s="3" t="str">
        <f t="shared" ref="K585:L585" si="589">TRIM(F585)</f>
        <v>Vfs</v>
      </c>
      <c r="L585" s="3" t="str">
        <f t="shared" si="589"/>
        <v>Offline</v>
      </c>
      <c r="M585" s="3" t="str">
        <f t="shared" si="3"/>
        <v>Offline</v>
      </c>
      <c r="N585" s="3" t="str">
        <f>IFERROR(__xludf.DUMMYFUNCTION("SPLIT(M585,""&amp;"")"),"Offline")</f>
        <v>Offline</v>
      </c>
      <c r="O585" s="3" t="str">
        <f t="shared" si="4"/>
        <v>Offline</v>
      </c>
      <c r="P585" s="3" t="str">
        <f t="shared" si="5"/>
        <v>Visitudaipur</v>
      </c>
      <c r="Q585" s="3" t="str">
        <f t="shared" si="6"/>
        <v>Visitudaipur</v>
      </c>
      <c r="R585" s="3">
        <f t="shared" si="7"/>
        <v>4566</v>
      </c>
    </row>
    <row r="586">
      <c r="A586" s="7" t="s">
        <v>168</v>
      </c>
      <c r="B586" s="8" t="s">
        <v>19</v>
      </c>
      <c r="C586" s="8">
        <v>79700.0</v>
      </c>
      <c r="E586" s="3" t="str">
        <f>IFERROR(__xludf.DUMMYFUNCTION("SPLIT(A586,""|"")"),"Vin/Google Ads/20221119/Visitudaipur/3455")</f>
        <v>Vin/Google Ads/20221119/Visitudaipur/3455</v>
      </c>
      <c r="F586" s="3" t="str">
        <f>IFERROR(__xludf.DUMMYFUNCTION("SPLIT(E586,""/"")"),"Vin")</f>
        <v>Vin</v>
      </c>
      <c r="G586" s="3" t="str">
        <f>IFERROR(__xludf.DUMMYFUNCTION("""COMPUTED_VALUE"""),"Google Ads")</f>
        <v>Google Ads</v>
      </c>
      <c r="H586" s="3">
        <f>IFERROR(__xludf.DUMMYFUNCTION("""COMPUTED_VALUE"""),2.0221119E7)</f>
        <v>20221119</v>
      </c>
      <c r="I586" s="3" t="str">
        <f>IFERROR(__xludf.DUMMYFUNCTION("""COMPUTED_VALUE"""),"Visitudaipur")</f>
        <v>Visitudaipur</v>
      </c>
      <c r="J586" s="3">
        <f>IFERROR(__xludf.DUMMYFUNCTION("""COMPUTED_VALUE"""),3455.0)</f>
        <v>3455</v>
      </c>
      <c r="K586" s="3" t="str">
        <f t="shared" ref="K586:L586" si="590">TRIM(F586)</f>
        <v>Vin</v>
      </c>
      <c r="L586" s="3" t="str">
        <f t="shared" si="590"/>
        <v>Google Ads</v>
      </c>
      <c r="M586" s="3" t="str">
        <f t="shared" si="3"/>
        <v>Google Ads</v>
      </c>
      <c r="N586" s="3" t="str">
        <f>IFERROR(__xludf.DUMMYFUNCTION("SPLIT(M586,""&amp;"")"),"Google Ads")</f>
        <v>Google Ads</v>
      </c>
      <c r="O586" s="3" t="str">
        <f t="shared" si="4"/>
        <v>Google Ads</v>
      </c>
      <c r="P586" s="3" t="str">
        <f t="shared" si="5"/>
        <v>Visitudaipur</v>
      </c>
      <c r="Q586" s="3" t="str">
        <f t="shared" si="6"/>
        <v>Visitudaipur</v>
      </c>
      <c r="R586" s="3">
        <f t="shared" si="7"/>
        <v>3455</v>
      </c>
    </row>
    <row r="587">
      <c r="A587" s="7" t="s">
        <v>169</v>
      </c>
      <c r="B587" s="8" t="s">
        <v>19</v>
      </c>
      <c r="C587" s="8">
        <v>44700.0</v>
      </c>
      <c r="E587" s="3" t="str">
        <f>IFERROR(__xludf.DUMMYFUNCTION("SPLIT(A587,""|"")"),"Chq/Twitter/20221122/Visitudaipur/5666")</f>
        <v>Chq/Twitter/20221122/Visitudaipur/5666</v>
      </c>
      <c r="F587" s="3" t="str">
        <f>IFERROR(__xludf.DUMMYFUNCTION("SPLIT(E587,""/"")"),"Chq")</f>
        <v>Chq</v>
      </c>
      <c r="G587" s="3" t="str">
        <f>IFERROR(__xludf.DUMMYFUNCTION("""COMPUTED_VALUE"""),"Twitter")</f>
        <v>Twitter</v>
      </c>
      <c r="H587" s="3">
        <f>IFERROR(__xludf.DUMMYFUNCTION("""COMPUTED_VALUE"""),2.0221122E7)</f>
        <v>20221122</v>
      </c>
      <c r="I587" s="3" t="str">
        <f>IFERROR(__xludf.DUMMYFUNCTION("""COMPUTED_VALUE"""),"Visitudaipur")</f>
        <v>Visitudaipur</v>
      </c>
      <c r="J587" s="3">
        <f>IFERROR(__xludf.DUMMYFUNCTION("""COMPUTED_VALUE"""),5666.0)</f>
        <v>5666</v>
      </c>
      <c r="K587" s="3" t="str">
        <f t="shared" ref="K587:L587" si="591">TRIM(F587)</f>
        <v>Chq</v>
      </c>
      <c r="L587" s="3" t="str">
        <f t="shared" si="591"/>
        <v>Twitter</v>
      </c>
      <c r="M587" s="3" t="str">
        <f t="shared" si="3"/>
        <v>Twitter</v>
      </c>
      <c r="N587" s="3" t="str">
        <f>IFERROR(__xludf.DUMMYFUNCTION("SPLIT(M587,""&amp;"")"),"Twitter")</f>
        <v>Twitter</v>
      </c>
      <c r="O587" s="3" t="str">
        <f t="shared" si="4"/>
        <v>Twitter</v>
      </c>
      <c r="P587" s="3" t="str">
        <f t="shared" si="5"/>
        <v>Visitudaipur</v>
      </c>
      <c r="Q587" s="3" t="str">
        <f t="shared" si="6"/>
        <v>Visitudaipur</v>
      </c>
      <c r="R587" s="3">
        <f t="shared" si="7"/>
        <v>5666</v>
      </c>
    </row>
    <row r="588">
      <c r="A588" s="7" t="s">
        <v>170</v>
      </c>
      <c r="B588" s="8" t="s">
        <v>19</v>
      </c>
      <c r="C588" s="8">
        <v>46600.0</v>
      </c>
      <c r="E588" s="3" t="str">
        <f>IFERROR(__xludf.DUMMYFUNCTION("SPLIT(A588,""|"")"),"Vfs/Facebook/20221125/Visitjodhpur/5676")</f>
        <v>Vfs/Facebook/20221125/Visitjodhpur/5676</v>
      </c>
      <c r="F588" s="3" t="str">
        <f>IFERROR(__xludf.DUMMYFUNCTION("SPLIT(E588,""/"")"),"Vfs")</f>
        <v>Vfs</v>
      </c>
      <c r="G588" s="3" t="str">
        <f>IFERROR(__xludf.DUMMYFUNCTION("""COMPUTED_VALUE"""),"Facebook")</f>
        <v>Facebook</v>
      </c>
      <c r="H588" s="3">
        <f>IFERROR(__xludf.DUMMYFUNCTION("""COMPUTED_VALUE"""),2.0221125E7)</f>
        <v>20221125</v>
      </c>
      <c r="I588" s="3" t="str">
        <f>IFERROR(__xludf.DUMMYFUNCTION("""COMPUTED_VALUE"""),"Visitjodhpur")</f>
        <v>Visitjodhpur</v>
      </c>
      <c r="J588" s="3">
        <f>IFERROR(__xludf.DUMMYFUNCTION("""COMPUTED_VALUE"""),5676.0)</f>
        <v>5676</v>
      </c>
      <c r="K588" s="3" t="str">
        <f t="shared" ref="K588:L588" si="592">TRIM(F588)</f>
        <v>Vfs</v>
      </c>
      <c r="L588" s="3" t="str">
        <f t="shared" si="592"/>
        <v>Facebook</v>
      </c>
      <c r="M588" s="3" t="str">
        <f t="shared" si="3"/>
        <v>Facebook</v>
      </c>
      <c r="N588" s="3" t="str">
        <f>IFERROR(__xludf.DUMMYFUNCTION("SPLIT(M588,""&amp;"")"),"Facebook")</f>
        <v>Facebook</v>
      </c>
      <c r="O588" s="3" t="str">
        <f t="shared" si="4"/>
        <v>Facebook</v>
      </c>
      <c r="P588" s="3" t="str">
        <f t="shared" si="5"/>
        <v>Visitjodhpur</v>
      </c>
      <c r="Q588" s="3" t="str">
        <f t="shared" si="6"/>
        <v>Visitjodhpur</v>
      </c>
      <c r="R588" s="3">
        <f t="shared" si="7"/>
        <v>5676</v>
      </c>
    </row>
    <row r="589">
      <c r="A589" s="8" t="s">
        <v>171</v>
      </c>
      <c r="B589" s="8" t="s">
        <v>19</v>
      </c>
      <c r="C589" s="8">
        <v>23500.0</v>
      </c>
      <c r="E589" s="3" t="str">
        <f>IFERROR(__xludf.DUMMYFUNCTION("SPLIT(A589,""|"")"),"Chq/Instagram/20221101/Visitjodhpur/4565")</f>
        <v>Chq/Instagram/20221101/Visitjodhpur/4565</v>
      </c>
      <c r="F589" s="3" t="str">
        <f>IFERROR(__xludf.DUMMYFUNCTION("SPLIT(E589,""/"")"),"Chq")</f>
        <v>Chq</v>
      </c>
      <c r="G589" s="3" t="str">
        <f>IFERROR(__xludf.DUMMYFUNCTION("""COMPUTED_VALUE"""),"Instagram")</f>
        <v>Instagram</v>
      </c>
      <c r="H589" s="3">
        <f>IFERROR(__xludf.DUMMYFUNCTION("""COMPUTED_VALUE"""),2.0221101E7)</f>
        <v>20221101</v>
      </c>
      <c r="I589" s="3" t="str">
        <f>IFERROR(__xludf.DUMMYFUNCTION("""COMPUTED_VALUE"""),"Visitjodhpur")</f>
        <v>Visitjodhpur</v>
      </c>
      <c r="J589" s="3">
        <f>IFERROR(__xludf.DUMMYFUNCTION("""COMPUTED_VALUE"""),4565.0)</f>
        <v>4565</v>
      </c>
      <c r="K589" s="3" t="str">
        <f t="shared" ref="K589:L589" si="593">TRIM(F589)</f>
        <v>Chq</v>
      </c>
      <c r="L589" s="3" t="str">
        <f t="shared" si="593"/>
        <v>Instagram</v>
      </c>
      <c r="M589" s="3" t="str">
        <f t="shared" si="3"/>
        <v>Instagram</v>
      </c>
      <c r="N589" s="3" t="str">
        <f>IFERROR(__xludf.DUMMYFUNCTION("SPLIT(M589,""&amp;"")"),"Instagram")</f>
        <v>Instagram</v>
      </c>
      <c r="O589" s="3" t="str">
        <f t="shared" si="4"/>
        <v>Instagram</v>
      </c>
      <c r="P589" s="3" t="str">
        <f t="shared" si="5"/>
        <v>Visitjodhpur</v>
      </c>
      <c r="Q589" s="3" t="str">
        <f t="shared" si="6"/>
        <v>Visitjodhpur</v>
      </c>
      <c r="R589" s="3">
        <f t="shared" si="7"/>
        <v>4565</v>
      </c>
    </row>
    <row r="590">
      <c r="A590" s="8" t="s">
        <v>172</v>
      </c>
      <c r="B590" s="8" t="s">
        <v>19</v>
      </c>
      <c r="C590" s="8">
        <v>32300.0</v>
      </c>
      <c r="E590" s="3" t="str">
        <f>IFERROR(__xludf.DUMMYFUNCTION("SPLIT(A590,""|"")"),"Vfs/Offline/20221104/Visitjodhpur/4566")</f>
        <v>Vfs/Offline/20221104/Visitjodhpur/4566</v>
      </c>
      <c r="F590" s="3" t="str">
        <f>IFERROR(__xludf.DUMMYFUNCTION("SPLIT(E590,""/"")"),"Vfs")</f>
        <v>Vfs</v>
      </c>
      <c r="G590" s="3" t="str">
        <f>IFERROR(__xludf.DUMMYFUNCTION("""COMPUTED_VALUE"""),"Offline")</f>
        <v>Offline</v>
      </c>
      <c r="H590" s="3">
        <f>IFERROR(__xludf.DUMMYFUNCTION("""COMPUTED_VALUE"""),2.0221104E7)</f>
        <v>20221104</v>
      </c>
      <c r="I590" s="3" t="str">
        <f>IFERROR(__xludf.DUMMYFUNCTION("""COMPUTED_VALUE"""),"Visitjodhpur")</f>
        <v>Visitjodhpur</v>
      </c>
      <c r="J590" s="3">
        <f>IFERROR(__xludf.DUMMYFUNCTION("""COMPUTED_VALUE"""),4566.0)</f>
        <v>4566</v>
      </c>
      <c r="K590" s="3" t="str">
        <f t="shared" ref="K590:L590" si="594">TRIM(F590)</f>
        <v>Vfs</v>
      </c>
      <c r="L590" s="3" t="str">
        <f t="shared" si="594"/>
        <v>Offline</v>
      </c>
      <c r="M590" s="3" t="str">
        <f t="shared" si="3"/>
        <v>Offline</v>
      </c>
      <c r="N590" s="3" t="str">
        <f>IFERROR(__xludf.DUMMYFUNCTION("SPLIT(M590,""&amp;"")"),"Offline")</f>
        <v>Offline</v>
      </c>
      <c r="O590" s="3" t="str">
        <f t="shared" si="4"/>
        <v>Offline</v>
      </c>
      <c r="P590" s="3" t="str">
        <f t="shared" si="5"/>
        <v>Visitjodhpur</v>
      </c>
      <c r="Q590" s="3" t="str">
        <f t="shared" si="6"/>
        <v>Visitjodhpur</v>
      </c>
      <c r="R590" s="3">
        <f t="shared" si="7"/>
        <v>4566</v>
      </c>
    </row>
    <row r="591">
      <c r="A591" s="8" t="s">
        <v>173</v>
      </c>
      <c r="B591" s="8" t="s">
        <v>19</v>
      </c>
      <c r="C591" s="8">
        <v>31300.0</v>
      </c>
      <c r="E591" s="3" t="str">
        <f>IFERROR(__xludf.DUMMYFUNCTION("SPLIT(A591,""|"")"),"Vin/Google Ads/20221107/Visitjodhpur/3455")</f>
        <v>Vin/Google Ads/20221107/Visitjodhpur/3455</v>
      </c>
      <c r="F591" s="3" t="str">
        <f>IFERROR(__xludf.DUMMYFUNCTION("SPLIT(E591,""/"")"),"Vin")</f>
        <v>Vin</v>
      </c>
      <c r="G591" s="3" t="str">
        <f>IFERROR(__xludf.DUMMYFUNCTION("""COMPUTED_VALUE"""),"Google Ads")</f>
        <v>Google Ads</v>
      </c>
      <c r="H591" s="3">
        <f>IFERROR(__xludf.DUMMYFUNCTION("""COMPUTED_VALUE"""),2.0221107E7)</f>
        <v>20221107</v>
      </c>
      <c r="I591" s="3" t="str">
        <f>IFERROR(__xludf.DUMMYFUNCTION("""COMPUTED_VALUE"""),"Visitjodhpur")</f>
        <v>Visitjodhpur</v>
      </c>
      <c r="J591" s="3">
        <f>IFERROR(__xludf.DUMMYFUNCTION("""COMPUTED_VALUE"""),3455.0)</f>
        <v>3455</v>
      </c>
      <c r="K591" s="3" t="str">
        <f t="shared" ref="K591:L591" si="595">TRIM(F591)</f>
        <v>Vin</v>
      </c>
      <c r="L591" s="3" t="str">
        <f t="shared" si="595"/>
        <v>Google Ads</v>
      </c>
      <c r="M591" s="3" t="str">
        <f t="shared" si="3"/>
        <v>Google Ads</v>
      </c>
      <c r="N591" s="3" t="str">
        <f>IFERROR(__xludf.DUMMYFUNCTION("SPLIT(M591,""&amp;"")"),"Google Ads")</f>
        <v>Google Ads</v>
      </c>
      <c r="O591" s="3" t="str">
        <f t="shared" si="4"/>
        <v>Google Ads</v>
      </c>
      <c r="P591" s="3" t="str">
        <f t="shared" si="5"/>
        <v>Visitjodhpur</v>
      </c>
      <c r="Q591" s="3" t="str">
        <f t="shared" si="6"/>
        <v>Visitjodhpur</v>
      </c>
      <c r="R591" s="3">
        <f t="shared" si="7"/>
        <v>3455</v>
      </c>
    </row>
    <row r="592">
      <c r="A592" s="8" t="s">
        <v>174</v>
      </c>
      <c r="B592" s="8" t="s">
        <v>19</v>
      </c>
      <c r="C592" s="8">
        <v>35200.0</v>
      </c>
      <c r="E592" s="3" t="str">
        <f>IFERROR(__xludf.DUMMYFUNCTION("SPLIT(A592,""|"")"),"Neft/Twitter/20221110/Visitjodhpur/5666")</f>
        <v>Neft/Twitter/20221110/Visitjodhpur/5666</v>
      </c>
      <c r="F592" s="3" t="str">
        <f>IFERROR(__xludf.DUMMYFUNCTION("SPLIT(E592,""/"")"),"Neft")</f>
        <v>Neft</v>
      </c>
      <c r="G592" s="3" t="str">
        <f>IFERROR(__xludf.DUMMYFUNCTION("""COMPUTED_VALUE"""),"Twitter")</f>
        <v>Twitter</v>
      </c>
      <c r="H592" s="3">
        <f>IFERROR(__xludf.DUMMYFUNCTION("""COMPUTED_VALUE"""),2.022111E7)</f>
        <v>20221110</v>
      </c>
      <c r="I592" s="3" t="str">
        <f>IFERROR(__xludf.DUMMYFUNCTION("""COMPUTED_VALUE"""),"Visitjodhpur")</f>
        <v>Visitjodhpur</v>
      </c>
      <c r="J592" s="3">
        <f>IFERROR(__xludf.DUMMYFUNCTION("""COMPUTED_VALUE"""),5666.0)</f>
        <v>5666</v>
      </c>
      <c r="K592" s="3" t="str">
        <f t="shared" ref="K592:L592" si="596">TRIM(F592)</f>
        <v>Neft</v>
      </c>
      <c r="L592" s="3" t="str">
        <f t="shared" si="596"/>
        <v>Twitter</v>
      </c>
      <c r="M592" s="3" t="str">
        <f t="shared" si="3"/>
        <v>Twitter</v>
      </c>
      <c r="N592" s="3" t="str">
        <f>IFERROR(__xludf.DUMMYFUNCTION("SPLIT(M592,""&amp;"")"),"Twitter")</f>
        <v>Twitter</v>
      </c>
      <c r="O592" s="3" t="str">
        <f t="shared" si="4"/>
        <v>Twitter</v>
      </c>
      <c r="P592" s="3" t="str">
        <f t="shared" si="5"/>
        <v>Visitjodhpur</v>
      </c>
      <c r="Q592" s="3" t="str">
        <f t="shared" si="6"/>
        <v>Visitjodhpur</v>
      </c>
      <c r="R592" s="3">
        <f t="shared" si="7"/>
        <v>5666</v>
      </c>
    </row>
    <row r="593">
      <c r="A593" s="8" t="s">
        <v>175</v>
      </c>
      <c r="B593" s="8" t="s">
        <v>19</v>
      </c>
      <c r="C593" s="8">
        <v>96500.0</v>
      </c>
      <c r="E593" s="3" t="str">
        <f>IFERROR(__xludf.DUMMYFUNCTION("SPLIT(A593,""|"")"),"Chq/Facebook/20221113/Visitjaisalmer/5676")</f>
        <v>Chq/Facebook/20221113/Visitjaisalmer/5676</v>
      </c>
      <c r="F593" s="3" t="str">
        <f>IFERROR(__xludf.DUMMYFUNCTION("SPLIT(E593,""/"")"),"Chq")</f>
        <v>Chq</v>
      </c>
      <c r="G593" s="3" t="str">
        <f>IFERROR(__xludf.DUMMYFUNCTION("""COMPUTED_VALUE"""),"Facebook")</f>
        <v>Facebook</v>
      </c>
      <c r="H593" s="3">
        <f>IFERROR(__xludf.DUMMYFUNCTION("""COMPUTED_VALUE"""),2.0221113E7)</f>
        <v>20221113</v>
      </c>
      <c r="I593" s="3" t="str">
        <f>IFERROR(__xludf.DUMMYFUNCTION("""COMPUTED_VALUE"""),"Visitjaisalmer")</f>
        <v>Visitjaisalmer</v>
      </c>
      <c r="J593" s="3">
        <f>IFERROR(__xludf.DUMMYFUNCTION("""COMPUTED_VALUE"""),5676.0)</f>
        <v>5676</v>
      </c>
      <c r="K593" s="3" t="str">
        <f t="shared" ref="K593:L593" si="597">TRIM(F593)</f>
        <v>Chq</v>
      </c>
      <c r="L593" s="3" t="str">
        <f t="shared" si="597"/>
        <v>Facebook</v>
      </c>
      <c r="M593" s="3" t="str">
        <f t="shared" si="3"/>
        <v>Facebook</v>
      </c>
      <c r="N593" s="3" t="str">
        <f>IFERROR(__xludf.DUMMYFUNCTION("SPLIT(M593,""&amp;"")"),"Facebook")</f>
        <v>Facebook</v>
      </c>
      <c r="O593" s="3" t="str">
        <f t="shared" si="4"/>
        <v>Facebook</v>
      </c>
      <c r="P593" s="3" t="str">
        <f t="shared" si="5"/>
        <v>Visitjaisalmer</v>
      </c>
      <c r="Q593" s="3" t="str">
        <f t="shared" si="6"/>
        <v>Visitjaisalmer</v>
      </c>
      <c r="R593" s="3">
        <f t="shared" si="7"/>
        <v>5676</v>
      </c>
    </row>
    <row r="594">
      <c r="A594" s="8" t="s">
        <v>176</v>
      </c>
      <c r="B594" s="8" t="s">
        <v>19</v>
      </c>
      <c r="C594" s="8">
        <v>44800.0</v>
      </c>
      <c r="E594" s="3" t="str">
        <f>IFERROR(__xludf.DUMMYFUNCTION("SPLIT(A594,""|"")"),"Vfs/Youtube/20221116/Visitjaisalmer/4564")</f>
        <v>Vfs/Youtube/20221116/Visitjaisalmer/4564</v>
      </c>
      <c r="F594" s="3" t="str">
        <f>IFERROR(__xludf.DUMMYFUNCTION("SPLIT(E594,""/"")"),"Vfs")</f>
        <v>Vfs</v>
      </c>
      <c r="G594" s="3" t="str">
        <f>IFERROR(__xludf.DUMMYFUNCTION("""COMPUTED_VALUE"""),"Youtube")</f>
        <v>Youtube</v>
      </c>
      <c r="H594" s="3">
        <f>IFERROR(__xludf.DUMMYFUNCTION("""COMPUTED_VALUE"""),2.0221116E7)</f>
        <v>20221116</v>
      </c>
      <c r="I594" s="3" t="str">
        <f>IFERROR(__xludf.DUMMYFUNCTION("""COMPUTED_VALUE"""),"Visitjaisalmer")</f>
        <v>Visitjaisalmer</v>
      </c>
      <c r="J594" s="3">
        <f>IFERROR(__xludf.DUMMYFUNCTION("""COMPUTED_VALUE"""),4564.0)</f>
        <v>4564</v>
      </c>
      <c r="K594" s="3" t="str">
        <f t="shared" ref="K594:L594" si="598">TRIM(F594)</f>
        <v>Vfs</v>
      </c>
      <c r="L594" s="3" t="str">
        <f t="shared" si="598"/>
        <v>Youtube</v>
      </c>
      <c r="M594" s="3" t="str">
        <f t="shared" si="3"/>
        <v>Youtube</v>
      </c>
      <c r="N594" s="3" t="str">
        <f>IFERROR(__xludf.DUMMYFUNCTION("SPLIT(M594,""&amp;"")"),"Youtube")</f>
        <v>Youtube</v>
      </c>
      <c r="O594" s="3" t="str">
        <f t="shared" si="4"/>
        <v>Youtube</v>
      </c>
      <c r="P594" s="3" t="str">
        <f t="shared" si="5"/>
        <v>Visitjaisalmer</v>
      </c>
      <c r="Q594" s="3" t="str">
        <f t="shared" si="6"/>
        <v>Visitjaisalmer</v>
      </c>
      <c r="R594" s="3">
        <f t="shared" si="7"/>
        <v>4564</v>
      </c>
    </row>
    <row r="595">
      <c r="A595" s="8" t="s">
        <v>177</v>
      </c>
      <c r="B595" s="8" t="s">
        <v>19</v>
      </c>
      <c r="C595" s="8">
        <v>19600.0</v>
      </c>
      <c r="E595" s="3" t="str">
        <f>IFERROR(__xludf.DUMMYFUNCTION("SPLIT(A595,""|"")"),"Vin/Instagram/20221119/Visitjaisalmer/4565")</f>
        <v>Vin/Instagram/20221119/Visitjaisalmer/4565</v>
      </c>
      <c r="F595" s="3" t="str">
        <f>IFERROR(__xludf.DUMMYFUNCTION("SPLIT(E595,""/"")"),"Vin")</f>
        <v>Vin</v>
      </c>
      <c r="G595" s="3" t="str">
        <f>IFERROR(__xludf.DUMMYFUNCTION("""COMPUTED_VALUE"""),"Instagram")</f>
        <v>Instagram</v>
      </c>
      <c r="H595" s="3">
        <f>IFERROR(__xludf.DUMMYFUNCTION("""COMPUTED_VALUE"""),2.0221119E7)</f>
        <v>20221119</v>
      </c>
      <c r="I595" s="3" t="str">
        <f>IFERROR(__xludf.DUMMYFUNCTION("""COMPUTED_VALUE"""),"Visitjaisalmer")</f>
        <v>Visitjaisalmer</v>
      </c>
      <c r="J595" s="3">
        <f>IFERROR(__xludf.DUMMYFUNCTION("""COMPUTED_VALUE"""),4565.0)</f>
        <v>4565</v>
      </c>
      <c r="K595" s="3" t="str">
        <f t="shared" ref="K595:L595" si="599">TRIM(F595)</f>
        <v>Vin</v>
      </c>
      <c r="L595" s="3" t="str">
        <f t="shared" si="599"/>
        <v>Instagram</v>
      </c>
      <c r="M595" s="3" t="str">
        <f t="shared" si="3"/>
        <v>Instagram</v>
      </c>
      <c r="N595" s="3" t="str">
        <f>IFERROR(__xludf.DUMMYFUNCTION("SPLIT(M595,""&amp;"")"),"Instagram")</f>
        <v>Instagram</v>
      </c>
      <c r="O595" s="3" t="str">
        <f t="shared" si="4"/>
        <v>Instagram</v>
      </c>
      <c r="P595" s="3" t="str">
        <f t="shared" si="5"/>
        <v>Visitjaisalmer</v>
      </c>
      <c r="Q595" s="3" t="str">
        <f t="shared" si="6"/>
        <v>Visitjaisalmer</v>
      </c>
      <c r="R595" s="3">
        <f t="shared" si="7"/>
        <v>4565</v>
      </c>
    </row>
    <row r="596">
      <c r="A596" s="8" t="s">
        <v>178</v>
      </c>
      <c r="B596" s="8" t="s">
        <v>19</v>
      </c>
      <c r="C596" s="8">
        <v>96000.0</v>
      </c>
      <c r="E596" s="3" t="str">
        <f>IFERROR(__xludf.DUMMYFUNCTION("SPLIT(A596,""|"")"),"Chq/Offline/20221122/Visitjaisalmer/4566")</f>
        <v>Chq/Offline/20221122/Visitjaisalmer/4566</v>
      </c>
      <c r="F596" s="3" t="str">
        <f>IFERROR(__xludf.DUMMYFUNCTION("SPLIT(E596,""/"")"),"Chq")</f>
        <v>Chq</v>
      </c>
      <c r="G596" s="3" t="str">
        <f>IFERROR(__xludf.DUMMYFUNCTION("""COMPUTED_VALUE"""),"Offline")</f>
        <v>Offline</v>
      </c>
      <c r="H596" s="3">
        <f>IFERROR(__xludf.DUMMYFUNCTION("""COMPUTED_VALUE"""),2.0221122E7)</f>
        <v>20221122</v>
      </c>
      <c r="I596" s="3" t="str">
        <f>IFERROR(__xludf.DUMMYFUNCTION("""COMPUTED_VALUE"""),"Visitjaisalmer")</f>
        <v>Visitjaisalmer</v>
      </c>
      <c r="J596" s="3">
        <f>IFERROR(__xludf.DUMMYFUNCTION("""COMPUTED_VALUE"""),4566.0)</f>
        <v>4566</v>
      </c>
      <c r="K596" s="3" t="str">
        <f t="shared" ref="K596:L596" si="600">TRIM(F596)</f>
        <v>Chq</v>
      </c>
      <c r="L596" s="3" t="str">
        <f t="shared" si="600"/>
        <v>Offline</v>
      </c>
      <c r="M596" s="3" t="str">
        <f t="shared" si="3"/>
        <v>Offline</v>
      </c>
      <c r="N596" s="3" t="str">
        <f>IFERROR(__xludf.DUMMYFUNCTION("SPLIT(M596,""&amp;"")"),"Offline")</f>
        <v>Offline</v>
      </c>
      <c r="O596" s="3" t="str">
        <f t="shared" si="4"/>
        <v>Offline</v>
      </c>
      <c r="P596" s="3" t="str">
        <f t="shared" si="5"/>
        <v>Visitjaisalmer</v>
      </c>
      <c r="Q596" s="3" t="str">
        <f t="shared" si="6"/>
        <v>Visitjaisalmer</v>
      </c>
      <c r="R596" s="3">
        <f t="shared" si="7"/>
        <v>4566</v>
      </c>
    </row>
    <row r="597">
      <c r="A597" s="8" t="s">
        <v>179</v>
      </c>
      <c r="B597" s="8" t="s">
        <v>19</v>
      </c>
      <c r="C597" s="8">
        <v>35300.0</v>
      </c>
      <c r="E597" s="3" t="str">
        <f>IFERROR(__xludf.DUMMYFUNCTION("SPLIT(A597,""|"")"),"Vfs/Google Ads/20221125/Visitjaisalmer/3455")</f>
        <v>Vfs/Google Ads/20221125/Visitjaisalmer/3455</v>
      </c>
      <c r="F597" s="3" t="str">
        <f>IFERROR(__xludf.DUMMYFUNCTION("SPLIT(E597,""/"")"),"Vfs")</f>
        <v>Vfs</v>
      </c>
      <c r="G597" s="3" t="str">
        <f>IFERROR(__xludf.DUMMYFUNCTION("""COMPUTED_VALUE"""),"Google Ads")</f>
        <v>Google Ads</v>
      </c>
      <c r="H597" s="3">
        <f>IFERROR(__xludf.DUMMYFUNCTION("""COMPUTED_VALUE"""),2.0221125E7)</f>
        <v>20221125</v>
      </c>
      <c r="I597" s="3" t="str">
        <f>IFERROR(__xludf.DUMMYFUNCTION("""COMPUTED_VALUE"""),"Visitjaisalmer")</f>
        <v>Visitjaisalmer</v>
      </c>
      <c r="J597" s="3">
        <f>IFERROR(__xludf.DUMMYFUNCTION("""COMPUTED_VALUE"""),3455.0)</f>
        <v>3455</v>
      </c>
      <c r="K597" s="3" t="str">
        <f t="shared" ref="K597:L597" si="601">TRIM(F597)</f>
        <v>Vfs</v>
      </c>
      <c r="L597" s="3" t="str">
        <f t="shared" si="601"/>
        <v>Google Ads</v>
      </c>
      <c r="M597" s="3" t="str">
        <f t="shared" si="3"/>
        <v>Google Ads</v>
      </c>
      <c r="N597" s="3" t="str">
        <f>IFERROR(__xludf.DUMMYFUNCTION("SPLIT(M597,""&amp;"")"),"Google Ads")</f>
        <v>Google Ads</v>
      </c>
      <c r="O597" s="3" t="str">
        <f t="shared" si="4"/>
        <v>Google Ads</v>
      </c>
      <c r="P597" s="3" t="str">
        <f t="shared" si="5"/>
        <v>Visitjaisalmer</v>
      </c>
      <c r="Q597" s="3" t="str">
        <f t="shared" si="6"/>
        <v>Visitjaisalmer</v>
      </c>
      <c r="R597" s="3">
        <f t="shared" si="7"/>
        <v>3455</v>
      </c>
    </row>
    <row r="598">
      <c r="A598" s="8" t="s">
        <v>180</v>
      </c>
      <c r="B598" s="8" t="s">
        <v>19</v>
      </c>
      <c r="C598" s="8">
        <v>52200.0</v>
      </c>
      <c r="E598" s="3" t="str">
        <f>IFERROR(__xludf.DUMMYFUNCTION("SPLIT(A598,""|"")"),"Neft/Twitter/20221128/Visitjaisalmer/5666")</f>
        <v>Neft/Twitter/20221128/Visitjaisalmer/5666</v>
      </c>
      <c r="F598" s="3" t="str">
        <f>IFERROR(__xludf.DUMMYFUNCTION("SPLIT(E598,""/"")"),"Neft")</f>
        <v>Neft</v>
      </c>
      <c r="G598" s="3" t="str">
        <f>IFERROR(__xludf.DUMMYFUNCTION("""COMPUTED_VALUE"""),"Twitter")</f>
        <v>Twitter</v>
      </c>
      <c r="H598" s="3">
        <f>IFERROR(__xludf.DUMMYFUNCTION("""COMPUTED_VALUE"""),2.0221128E7)</f>
        <v>20221128</v>
      </c>
      <c r="I598" s="3" t="str">
        <f>IFERROR(__xludf.DUMMYFUNCTION("""COMPUTED_VALUE"""),"Visitjaisalmer")</f>
        <v>Visitjaisalmer</v>
      </c>
      <c r="J598" s="3">
        <f>IFERROR(__xludf.DUMMYFUNCTION("""COMPUTED_VALUE"""),5666.0)</f>
        <v>5666</v>
      </c>
      <c r="K598" s="3" t="str">
        <f t="shared" ref="K598:L598" si="602">TRIM(F598)</f>
        <v>Neft</v>
      </c>
      <c r="L598" s="3" t="str">
        <f t="shared" si="602"/>
        <v>Twitter</v>
      </c>
      <c r="M598" s="3" t="str">
        <f t="shared" si="3"/>
        <v>Twitter</v>
      </c>
      <c r="N598" s="3" t="str">
        <f>IFERROR(__xludf.DUMMYFUNCTION("SPLIT(M598,""&amp;"")"),"Twitter")</f>
        <v>Twitter</v>
      </c>
      <c r="O598" s="3" t="str">
        <f t="shared" si="4"/>
        <v>Twitter</v>
      </c>
      <c r="P598" s="3" t="str">
        <f t="shared" si="5"/>
        <v>Visitjaisalmer</v>
      </c>
      <c r="Q598" s="3" t="str">
        <f t="shared" si="6"/>
        <v>Visitjaisalmer</v>
      </c>
      <c r="R598" s="3">
        <f t="shared" si="7"/>
        <v>5666</v>
      </c>
    </row>
    <row r="599">
      <c r="A599" s="8" t="s">
        <v>181</v>
      </c>
      <c r="B599" s="8" t="s">
        <v>19</v>
      </c>
      <c r="C599" s="8">
        <v>93400.0</v>
      </c>
      <c r="E599" s="3" t="str">
        <f>IFERROR(__xludf.DUMMYFUNCTION("SPLIT(A599,""|"")"),"Chq/Facebook/20221101/Visitbikaner/5676")</f>
        <v>Chq/Facebook/20221101/Visitbikaner/5676</v>
      </c>
      <c r="F599" s="3" t="str">
        <f>IFERROR(__xludf.DUMMYFUNCTION("SPLIT(E599,""/"")"),"Chq")</f>
        <v>Chq</v>
      </c>
      <c r="G599" s="3" t="str">
        <f>IFERROR(__xludf.DUMMYFUNCTION("""COMPUTED_VALUE"""),"Facebook")</f>
        <v>Facebook</v>
      </c>
      <c r="H599" s="3">
        <f>IFERROR(__xludf.DUMMYFUNCTION("""COMPUTED_VALUE"""),2.0221101E7)</f>
        <v>20221101</v>
      </c>
      <c r="I599" s="3" t="str">
        <f>IFERROR(__xludf.DUMMYFUNCTION("""COMPUTED_VALUE"""),"Visitbikaner")</f>
        <v>Visitbikaner</v>
      </c>
      <c r="J599" s="3">
        <f>IFERROR(__xludf.DUMMYFUNCTION("""COMPUTED_VALUE"""),5676.0)</f>
        <v>5676</v>
      </c>
      <c r="K599" s="3" t="str">
        <f t="shared" ref="K599:L599" si="603">TRIM(F599)</f>
        <v>Chq</v>
      </c>
      <c r="L599" s="3" t="str">
        <f t="shared" si="603"/>
        <v>Facebook</v>
      </c>
      <c r="M599" s="3" t="str">
        <f t="shared" si="3"/>
        <v>Facebook</v>
      </c>
      <c r="N599" s="3" t="str">
        <f>IFERROR(__xludf.DUMMYFUNCTION("SPLIT(M599,""&amp;"")"),"Facebook")</f>
        <v>Facebook</v>
      </c>
      <c r="O599" s="3" t="str">
        <f t="shared" si="4"/>
        <v>Facebook</v>
      </c>
      <c r="P599" s="3" t="str">
        <f t="shared" si="5"/>
        <v>Visitbikaner</v>
      </c>
      <c r="Q599" s="3" t="str">
        <f t="shared" si="6"/>
        <v>Visitbikaner</v>
      </c>
      <c r="R599" s="3">
        <f t="shared" si="7"/>
        <v>5676</v>
      </c>
    </row>
    <row r="600">
      <c r="A600" s="8" t="s">
        <v>182</v>
      </c>
      <c r="B600" s="8" t="s">
        <v>19</v>
      </c>
      <c r="C600" s="8">
        <v>71200.0</v>
      </c>
      <c r="E600" s="3" t="str">
        <f>IFERROR(__xludf.DUMMYFUNCTION("SPLIT(A600,""|"")"),"Vfs/Youtube/20221104/Visitbikaner/4564")</f>
        <v>Vfs/Youtube/20221104/Visitbikaner/4564</v>
      </c>
      <c r="F600" s="3" t="str">
        <f>IFERROR(__xludf.DUMMYFUNCTION("SPLIT(E600,""/"")"),"Vfs")</f>
        <v>Vfs</v>
      </c>
      <c r="G600" s="3" t="str">
        <f>IFERROR(__xludf.DUMMYFUNCTION("""COMPUTED_VALUE"""),"Youtube")</f>
        <v>Youtube</v>
      </c>
      <c r="H600" s="3">
        <f>IFERROR(__xludf.DUMMYFUNCTION("""COMPUTED_VALUE"""),2.0221104E7)</f>
        <v>20221104</v>
      </c>
      <c r="I600" s="3" t="str">
        <f>IFERROR(__xludf.DUMMYFUNCTION("""COMPUTED_VALUE"""),"Visitbikaner")</f>
        <v>Visitbikaner</v>
      </c>
      <c r="J600" s="3">
        <f>IFERROR(__xludf.DUMMYFUNCTION("""COMPUTED_VALUE"""),4564.0)</f>
        <v>4564</v>
      </c>
      <c r="K600" s="3" t="str">
        <f t="shared" ref="K600:L600" si="604">TRIM(F600)</f>
        <v>Vfs</v>
      </c>
      <c r="L600" s="3" t="str">
        <f t="shared" si="604"/>
        <v>Youtube</v>
      </c>
      <c r="M600" s="3" t="str">
        <f t="shared" si="3"/>
        <v>Youtube</v>
      </c>
      <c r="N600" s="3" t="str">
        <f>IFERROR(__xludf.DUMMYFUNCTION("SPLIT(M600,""&amp;"")"),"Youtube")</f>
        <v>Youtube</v>
      </c>
      <c r="O600" s="3" t="str">
        <f t="shared" si="4"/>
        <v>Youtube</v>
      </c>
      <c r="P600" s="3" t="str">
        <f t="shared" si="5"/>
        <v>Visitbikaner</v>
      </c>
      <c r="Q600" s="3" t="str">
        <f t="shared" si="6"/>
        <v>Visitbikaner</v>
      </c>
      <c r="R600" s="3">
        <f t="shared" si="7"/>
        <v>4564</v>
      </c>
    </row>
    <row r="601">
      <c r="A601" s="8" t="s">
        <v>183</v>
      </c>
      <c r="B601" s="8" t="s">
        <v>19</v>
      </c>
      <c r="C601" s="8">
        <v>31800.0</v>
      </c>
      <c r="E601" s="3" t="str">
        <f>IFERROR(__xludf.DUMMYFUNCTION("SPLIT(A601,""|"")"),"Vin/Instagram/20221107/Visitbikaner/4565")</f>
        <v>Vin/Instagram/20221107/Visitbikaner/4565</v>
      </c>
      <c r="F601" s="3" t="str">
        <f>IFERROR(__xludf.DUMMYFUNCTION("SPLIT(E601,""/"")"),"Vin")</f>
        <v>Vin</v>
      </c>
      <c r="G601" s="3" t="str">
        <f>IFERROR(__xludf.DUMMYFUNCTION("""COMPUTED_VALUE"""),"Instagram")</f>
        <v>Instagram</v>
      </c>
      <c r="H601" s="3">
        <f>IFERROR(__xludf.DUMMYFUNCTION("""COMPUTED_VALUE"""),2.0221107E7)</f>
        <v>20221107</v>
      </c>
      <c r="I601" s="3" t="str">
        <f>IFERROR(__xludf.DUMMYFUNCTION("""COMPUTED_VALUE"""),"Visitbikaner")</f>
        <v>Visitbikaner</v>
      </c>
      <c r="J601" s="3">
        <f>IFERROR(__xludf.DUMMYFUNCTION("""COMPUTED_VALUE"""),4565.0)</f>
        <v>4565</v>
      </c>
      <c r="K601" s="3" t="str">
        <f t="shared" ref="K601:L601" si="605">TRIM(F601)</f>
        <v>Vin</v>
      </c>
      <c r="L601" s="3" t="str">
        <f t="shared" si="605"/>
        <v>Instagram</v>
      </c>
      <c r="M601" s="3" t="str">
        <f t="shared" si="3"/>
        <v>Instagram</v>
      </c>
      <c r="N601" s="3" t="str">
        <f>IFERROR(__xludf.DUMMYFUNCTION("SPLIT(M601,""&amp;"")"),"Instagram")</f>
        <v>Instagram</v>
      </c>
      <c r="O601" s="3" t="str">
        <f t="shared" si="4"/>
        <v>Instagram</v>
      </c>
      <c r="P601" s="3" t="str">
        <f t="shared" si="5"/>
        <v>Visitbikaner</v>
      </c>
      <c r="Q601" s="3" t="str">
        <f t="shared" si="6"/>
        <v>Visitbikaner</v>
      </c>
      <c r="R601" s="3">
        <f t="shared" si="7"/>
        <v>4565</v>
      </c>
    </row>
    <row r="602">
      <c r="A602" s="8" t="s">
        <v>184</v>
      </c>
      <c r="B602" s="8" t="s">
        <v>19</v>
      </c>
      <c r="C602" s="8">
        <v>67700.0</v>
      </c>
      <c r="E602" s="3" t="str">
        <f>IFERROR(__xludf.DUMMYFUNCTION("SPLIT(A602,""|"")"),"Neft/Offline/20221110/Visitbikaner/4566")</f>
        <v>Neft/Offline/20221110/Visitbikaner/4566</v>
      </c>
      <c r="F602" s="3" t="str">
        <f>IFERROR(__xludf.DUMMYFUNCTION("SPLIT(E602,""/"")"),"Neft")</f>
        <v>Neft</v>
      </c>
      <c r="G602" s="3" t="str">
        <f>IFERROR(__xludf.DUMMYFUNCTION("""COMPUTED_VALUE"""),"Offline")</f>
        <v>Offline</v>
      </c>
      <c r="H602" s="3">
        <f>IFERROR(__xludf.DUMMYFUNCTION("""COMPUTED_VALUE"""),2.022111E7)</f>
        <v>20221110</v>
      </c>
      <c r="I602" s="3" t="str">
        <f>IFERROR(__xludf.DUMMYFUNCTION("""COMPUTED_VALUE"""),"Visitbikaner")</f>
        <v>Visitbikaner</v>
      </c>
      <c r="J602" s="3">
        <f>IFERROR(__xludf.DUMMYFUNCTION("""COMPUTED_VALUE"""),4566.0)</f>
        <v>4566</v>
      </c>
      <c r="K602" s="3" t="str">
        <f t="shared" ref="K602:L602" si="606">TRIM(F602)</f>
        <v>Neft</v>
      </c>
      <c r="L602" s="3" t="str">
        <f t="shared" si="606"/>
        <v>Offline</v>
      </c>
      <c r="M602" s="3" t="str">
        <f t="shared" si="3"/>
        <v>Offline</v>
      </c>
      <c r="N602" s="3" t="str">
        <f>IFERROR(__xludf.DUMMYFUNCTION("SPLIT(M602,""&amp;"")"),"Offline")</f>
        <v>Offline</v>
      </c>
      <c r="O602" s="3" t="str">
        <f t="shared" si="4"/>
        <v>Offline</v>
      </c>
      <c r="P602" s="3" t="str">
        <f t="shared" si="5"/>
        <v>Visitbikaner</v>
      </c>
      <c r="Q602" s="3" t="str">
        <f t="shared" si="6"/>
        <v>Visitbikaner</v>
      </c>
      <c r="R602" s="3">
        <f t="shared" si="7"/>
        <v>4566</v>
      </c>
    </row>
    <row r="603">
      <c r="A603" s="8" t="s">
        <v>185</v>
      </c>
      <c r="B603" s="8" t="s">
        <v>19</v>
      </c>
      <c r="C603" s="8">
        <v>22400.0</v>
      </c>
      <c r="E603" s="3" t="str">
        <f>IFERROR(__xludf.DUMMYFUNCTION("SPLIT(A603,""|"")"),"Chq/Google Ads/20221113/Visitbikaner/3455")</f>
        <v>Chq/Google Ads/20221113/Visitbikaner/3455</v>
      </c>
      <c r="F603" s="3" t="str">
        <f>IFERROR(__xludf.DUMMYFUNCTION("SPLIT(E603,""/"")"),"Chq")</f>
        <v>Chq</v>
      </c>
      <c r="G603" s="3" t="str">
        <f>IFERROR(__xludf.DUMMYFUNCTION("""COMPUTED_VALUE"""),"Google Ads")</f>
        <v>Google Ads</v>
      </c>
      <c r="H603" s="3">
        <f>IFERROR(__xludf.DUMMYFUNCTION("""COMPUTED_VALUE"""),2.0221113E7)</f>
        <v>20221113</v>
      </c>
      <c r="I603" s="3" t="str">
        <f>IFERROR(__xludf.DUMMYFUNCTION("""COMPUTED_VALUE"""),"Visitbikaner")</f>
        <v>Visitbikaner</v>
      </c>
      <c r="J603" s="3">
        <f>IFERROR(__xludf.DUMMYFUNCTION("""COMPUTED_VALUE"""),3455.0)</f>
        <v>3455</v>
      </c>
      <c r="K603" s="3" t="str">
        <f t="shared" ref="K603:L603" si="607">TRIM(F603)</f>
        <v>Chq</v>
      </c>
      <c r="L603" s="3" t="str">
        <f t="shared" si="607"/>
        <v>Google Ads</v>
      </c>
      <c r="M603" s="3" t="str">
        <f t="shared" si="3"/>
        <v>Google Ads</v>
      </c>
      <c r="N603" s="3" t="str">
        <f>IFERROR(__xludf.DUMMYFUNCTION("SPLIT(M603,""&amp;"")"),"Google Ads")</f>
        <v>Google Ads</v>
      </c>
      <c r="O603" s="3" t="str">
        <f t="shared" si="4"/>
        <v>Google Ads</v>
      </c>
      <c r="P603" s="3" t="str">
        <f t="shared" si="5"/>
        <v>Visitbikaner</v>
      </c>
      <c r="Q603" s="3" t="str">
        <f t="shared" si="6"/>
        <v>Visitbikaner</v>
      </c>
      <c r="R603" s="3">
        <f t="shared" si="7"/>
        <v>3455</v>
      </c>
    </row>
    <row r="604">
      <c r="A604" s="8" t="s">
        <v>186</v>
      </c>
      <c r="B604" s="8" t="s">
        <v>19</v>
      </c>
      <c r="C604" s="8">
        <v>83800.0</v>
      </c>
      <c r="E604" s="3" t="str">
        <f>IFERROR(__xludf.DUMMYFUNCTION("SPLIT(A604,""|"")"),"Vfs/Twitter/20221116/Visitbikaner/5666")</f>
        <v>Vfs/Twitter/20221116/Visitbikaner/5666</v>
      </c>
      <c r="F604" s="3" t="str">
        <f>IFERROR(__xludf.DUMMYFUNCTION("SPLIT(E604,""/"")"),"Vfs")</f>
        <v>Vfs</v>
      </c>
      <c r="G604" s="3" t="str">
        <f>IFERROR(__xludf.DUMMYFUNCTION("""COMPUTED_VALUE"""),"Twitter")</f>
        <v>Twitter</v>
      </c>
      <c r="H604" s="3">
        <f>IFERROR(__xludf.DUMMYFUNCTION("""COMPUTED_VALUE"""),2.0221116E7)</f>
        <v>20221116</v>
      </c>
      <c r="I604" s="3" t="str">
        <f>IFERROR(__xludf.DUMMYFUNCTION("""COMPUTED_VALUE"""),"Visitbikaner")</f>
        <v>Visitbikaner</v>
      </c>
      <c r="J604" s="3">
        <f>IFERROR(__xludf.DUMMYFUNCTION("""COMPUTED_VALUE"""),5666.0)</f>
        <v>5666</v>
      </c>
      <c r="K604" s="3" t="str">
        <f t="shared" ref="K604:L604" si="608">TRIM(F604)</f>
        <v>Vfs</v>
      </c>
      <c r="L604" s="3" t="str">
        <f t="shared" si="608"/>
        <v>Twitter</v>
      </c>
      <c r="M604" s="3" t="str">
        <f t="shared" si="3"/>
        <v>Twitter</v>
      </c>
      <c r="N604" s="3" t="str">
        <f>IFERROR(__xludf.DUMMYFUNCTION("SPLIT(M604,""&amp;"")"),"Twitter")</f>
        <v>Twitter</v>
      </c>
      <c r="O604" s="3" t="str">
        <f t="shared" si="4"/>
        <v>Twitter</v>
      </c>
      <c r="P604" s="3" t="str">
        <f t="shared" si="5"/>
        <v>Visitbikaner</v>
      </c>
      <c r="Q604" s="3" t="str">
        <f t="shared" si="6"/>
        <v>Visitbikaner</v>
      </c>
      <c r="R604" s="3">
        <f t="shared" si="7"/>
        <v>5666</v>
      </c>
    </row>
    <row r="605">
      <c r="A605" s="8" t="s">
        <v>187</v>
      </c>
      <c r="B605" s="8" t="s">
        <v>20</v>
      </c>
      <c r="C605" s="8">
        <v>77300.0</v>
      </c>
      <c r="E605" s="3" t="str">
        <f>IFERROR(__xludf.DUMMYFUNCTION("SPLIT(A605,""|"")"),"Vin/Facebook/20221219/Visitjaipur/5676")</f>
        <v>Vin/Facebook/20221219/Visitjaipur/5676</v>
      </c>
      <c r="F605" s="3" t="str">
        <f>IFERROR(__xludf.DUMMYFUNCTION("SPLIT(E605,""/"")"),"Vin")</f>
        <v>Vin</v>
      </c>
      <c r="G605" s="3" t="str">
        <f>IFERROR(__xludf.DUMMYFUNCTION("""COMPUTED_VALUE"""),"Facebook")</f>
        <v>Facebook</v>
      </c>
      <c r="H605" s="3">
        <f>IFERROR(__xludf.DUMMYFUNCTION("""COMPUTED_VALUE"""),2.0221219E7)</f>
        <v>20221219</v>
      </c>
      <c r="I605" s="3" t="str">
        <f>IFERROR(__xludf.DUMMYFUNCTION("""COMPUTED_VALUE"""),"Visitjaipur")</f>
        <v>Visitjaipur</v>
      </c>
      <c r="J605" s="3">
        <f>IFERROR(__xludf.DUMMYFUNCTION("""COMPUTED_VALUE"""),5676.0)</f>
        <v>5676</v>
      </c>
      <c r="K605" s="3" t="str">
        <f t="shared" ref="K605:L605" si="609">TRIM(F605)</f>
        <v>Vin</v>
      </c>
      <c r="L605" s="3" t="str">
        <f t="shared" si="609"/>
        <v>Facebook</v>
      </c>
      <c r="M605" s="3" t="str">
        <f t="shared" si="3"/>
        <v>Facebook</v>
      </c>
      <c r="N605" s="3" t="str">
        <f>IFERROR(__xludf.DUMMYFUNCTION("SPLIT(M605,""&amp;"")"),"Facebook")</f>
        <v>Facebook</v>
      </c>
      <c r="O605" s="3" t="str">
        <f t="shared" si="4"/>
        <v>Facebook</v>
      </c>
      <c r="P605" s="3" t="str">
        <f t="shared" si="5"/>
        <v>Visitjaipur</v>
      </c>
      <c r="Q605" s="3" t="str">
        <f t="shared" si="6"/>
        <v>Visitjaipur</v>
      </c>
      <c r="R605" s="3">
        <f t="shared" si="7"/>
        <v>5676</v>
      </c>
    </row>
    <row r="606">
      <c r="A606" s="8" t="s">
        <v>188</v>
      </c>
      <c r="B606" s="8" t="s">
        <v>20</v>
      </c>
      <c r="C606" s="8">
        <v>80100.0</v>
      </c>
      <c r="E606" s="3" t="str">
        <f>IFERROR(__xludf.DUMMYFUNCTION("SPLIT(A606,""|"")"),"Chq/Youtube/20221222/Visitjaipur/4564")</f>
        <v>Chq/Youtube/20221222/Visitjaipur/4564</v>
      </c>
      <c r="F606" s="3" t="str">
        <f>IFERROR(__xludf.DUMMYFUNCTION("SPLIT(E606,""/"")"),"Chq")</f>
        <v>Chq</v>
      </c>
      <c r="G606" s="3" t="str">
        <f>IFERROR(__xludf.DUMMYFUNCTION("""COMPUTED_VALUE"""),"Youtube")</f>
        <v>Youtube</v>
      </c>
      <c r="H606" s="3">
        <f>IFERROR(__xludf.DUMMYFUNCTION("""COMPUTED_VALUE"""),2.0221222E7)</f>
        <v>20221222</v>
      </c>
      <c r="I606" s="3" t="str">
        <f>IFERROR(__xludf.DUMMYFUNCTION("""COMPUTED_VALUE"""),"Visitjaipur")</f>
        <v>Visitjaipur</v>
      </c>
      <c r="J606" s="3">
        <f>IFERROR(__xludf.DUMMYFUNCTION("""COMPUTED_VALUE"""),4564.0)</f>
        <v>4564</v>
      </c>
      <c r="K606" s="3" t="str">
        <f t="shared" ref="K606:L606" si="610">TRIM(F606)</f>
        <v>Chq</v>
      </c>
      <c r="L606" s="3" t="str">
        <f t="shared" si="610"/>
        <v>Youtube</v>
      </c>
      <c r="M606" s="3" t="str">
        <f t="shared" si="3"/>
        <v>Youtube</v>
      </c>
      <c r="N606" s="3" t="str">
        <f>IFERROR(__xludf.DUMMYFUNCTION("SPLIT(M606,""&amp;"")"),"Youtube")</f>
        <v>Youtube</v>
      </c>
      <c r="O606" s="3" t="str">
        <f t="shared" si="4"/>
        <v>Youtube</v>
      </c>
      <c r="P606" s="3" t="str">
        <f t="shared" si="5"/>
        <v>Visitjaipur</v>
      </c>
      <c r="Q606" s="3" t="str">
        <f t="shared" si="6"/>
        <v>Visitjaipur</v>
      </c>
      <c r="R606" s="3">
        <f t="shared" si="7"/>
        <v>4564</v>
      </c>
    </row>
    <row r="607">
      <c r="A607" s="8" t="s">
        <v>189</v>
      </c>
      <c r="B607" s="8" t="s">
        <v>20</v>
      </c>
      <c r="C607" s="8">
        <v>96400.0</v>
      </c>
      <c r="E607" s="3" t="str">
        <f>IFERROR(__xludf.DUMMYFUNCTION("SPLIT(A607,""|"")"),"Vfs/Instagram/20221225/Visitjaipur/4565")</f>
        <v>Vfs/Instagram/20221225/Visitjaipur/4565</v>
      </c>
      <c r="F607" s="3" t="str">
        <f>IFERROR(__xludf.DUMMYFUNCTION("SPLIT(E607,""/"")"),"Vfs")</f>
        <v>Vfs</v>
      </c>
      <c r="G607" s="3" t="str">
        <f>IFERROR(__xludf.DUMMYFUNCTION("""COMPUTED_VALUE"""),"Instagram")</f>
        <v>Instagram</v>
      </c>
      <c r="H607" s="3">
        <f>IFERROR(__xludf.DUMMYFUNCTION("""COMPUTED_VALUE"""),2.0221225E7)</f>
        <v>20221225</v>
      </c>
      <c r="I607" s="3" t="str">
        <f>IFERROR(__xludf.DUMMYFUNCTION("""COMPUTED_VALUE"""),"Visitjaipur")</f>
        <v>Visitjaipur</v>
      </c>
      <c r="J607" s="3">
        <f>IFERROR(__xludf.DUMMYFUNCTION("""COMPUTED_VALUE"""),4565.0)</f>
        <v>4565</v>
      </c>
      <c r="K607" s="3" t="str">
        <f t="shared" ref="K607:L607" si="611">TRIM(F607)</f>
        <v>Vfs</v>
      </c>
      <c r="L607" s="3" t="str">
        <f t="shared" si="611"/>
        <v>Instagram</v>
      </c>
      <c r="M607" s="3" t="str">
        <f t="shared" si="3"/>
        <v>Instagram</v>
      </c>
      <c r="N607" s="3" t="str">
        <f>IFERROR(__xludf.DUMMYFUNCTION("SPLIT(M607,""&amp;"")"),"Instagram")</f>
        <v>Instagram</v>
      </c>
      <c r="O607" s="3" t="str">
        <f t="shared" si="4"/>
        <v>Instagram</v>
      </c>
      <c r="P607" s="3" t="str">
        <f t="shared" si="5"/>
        <v>Visitjaipur</v>
      </c>
      <c r="Q607" s="3" t="str">
        <f t="shared" si="6"/>
        <v>Visitjaipur</v>
      </c>
      <c r="R607" s="3">
        <f t="shared" si="7"/>
        <v>4565</v>
      </c>
    </row>
    <row r="608">
      <c r="A608" s="8" t="s">
        <v>190</v>
      </c>
      <c r="B608" s="8" t="s">
        <v>20</v>
      </c>
      <c r="C608" s="8">
        <v>10000.0</v>
      </c>
      <c r="E608" s="3" t="str">
        <f>IFERROR(__xludf.DUMMYFUNCTION("SPLIT(A608,""|"")"),"Neft/Offline/20221228/Visitjaipur/4566")</f>
        <v>Neft/Offline/20221228/Visitjaipur/4566</v>
      </c>
      <c r="F608" s="3" t="str">
        <f>IFERROR(__xludf.DUMMYFUNCTION("SPLIT(E608,""/"")"),"Neft")</f>
        <v>Neft</v>
      </c>
      <c r="G608" s="3" t="str">
        <f>IFERROR(__xludf.DUMMYFUNCTION("""COMPUTED_VALUE"""),"Offline")</f>
        <v>Offline</v>
      </c>
      <c r="H608" s="3">
        <f>IFERROR(__xludf.DUMMYFUNCTION("""COMPUTED_VALUE"""),2.0221228E7)</f>
        <v>20221228</v>
      </c>
      <c r="I608" s="3" t="str">
        <f>IFERROR(__xludf.DUMMYFUNCTION("""COMPUTED_VALUE"""),"Visitjaipur")</f>
        <v>Visitjaipur</v>
      </c>
      <c r="J608" s="3">
        <f>IFERROR(__xludf.DUMMYFUNCTION("""COMPUTED_VALUE"""),4566.0)</f>
        <v>4566</v>
      </c>
      <c r="K608" s="3" t="str">
        <f t="shared" ref="K608:L608" si="612">TRIM(F608)</f>
        <v>Neft</v>
      </c>
      <c r="L608" s="3" t="str">
        <f t="shared" si="612"/>
        <v>Offline</v>
      </c>
      <c r="M608" s="3" t="str">
        <f t="shared" si="3"/>
        <v>Offline</v>
      </c>
      <c r="N608" s="3" t="str">
        <f>IFERROR(__xludf.DUMMYFUNCTION("SPLIT(M608,""&amp;"")"),"Offline")</f>
        <v>Offline</v>
      </c>
      <c r="O608" s="3" t="str">
        <f t="shared" si="4"/>
        <v>Offline</v>
      </c>
      <c r="P608" s="3" t="str">
        <f t="shared" si="5"/>
        <v>Visitjaipur</v>
      </c>
      <c r="Q608" s="3" t="str">
        <f t="shared" si="6"/>
        <v>Visitjaipur</v>
      </c>
      <c r="R608" s="3">
        <f t="shared" si="7"/>
        <v>4566</v>
      </c>
    </row>
    <row r="609">
      <c r="A609" s="8" t="s">
        <v>191</v>
      </c>
      <c r="B609" s="8" t="s">
        <v>20</v>
      </c>
      <c r="C609" s="8">
        <v>44500.0</v>
      </c>
      <c r="E609" s="3" t="str">
        <f>IFERROR(__xludf.DUMMYFUNCTION("SPLIT(A609,""|"")"),"Chq/Google Ads/20221201/Visitjaipur/3455")</f>
        <v>Chq/Google Ads/20221201/Visitjaipur/3455</v>
      </c>
      <c r="F609" s="3" t="str">
        <f>IFERROR(__xludf.DUMMYFUNCTION("SPLIT(E609,""/"")"),"Chq")</f>
        <v>Chq</v>
      </c>
      <c r="G609" s="3" t="str">
        <f>IFERROR(__xludf.DUMMYFUNCTION("""COMPUTED_VALUE"""),"Google Ads")</f>
        <v>Google Ads</v>
      </c>
      <c r="H609" s="3">
        <f>IFERROR(__xludf.DUMMYFUNCTION("""COMPUTED_VALUE"""),2.0221201E7)</f>
        <v>20221201</v>
      </c>
      <c r="I609" s="3" t="str">
        <f>IFERROR(__xludf.DUMMYFUNCTION("""COMPUTED_VALUE"""),"Visitjaipur")</f>
        <v>Visitjaipur</v>
      </c>
      <c r="J609" s="3">
        <f>IFERROR(__xludf.DUMMYFUNCTION("""COMPUTED_VALUE"""),3455.0)</f>
        <v>3455</v>
      </c>
      <c r="K609" s="3" t="str">
        <f t="shared" ref="K609:L609" si="613">TRIM(F609)</f>
        <v>Chq</v>
      </c>
      <c r="L609" s="3" t="str">
        <f t="shared" si="613"/>
        <v>Google Ads</v>
      </c>
      <c r="M609" s="3" t="str">
        <f t="shared" si="3"/>
        <v>Google Ads</v>
      </c>
      <c r="N609" s="3" t="str">
        <f>IFERROR(__xludf.DUMMYFUNCTION("SPLIT(M609,""&amp;"")"),"Google Ads")</f>
        <v>Google Ads</v>
      </c>
      <c r="O609" s="3" t="str">
        <f t="shared" si="4"/>
        <v>Google Ads</v>
      </c>
      <c r="P609" s="3" t="str">
        <f t="shared" si="5"/>
        <v>Visitjaipur</v>
      </c>
      <c r="Q609" s="3" t="str">
        <f t="shared" si="6"/>
        <v>Visitjaipur</v>
      </c>
      <c r="R609" s="3">
        <f t="shared" si="7"/>
        <v>3455</v>
      </c>
    </row>
    <row r="610">
      <c r="A610" s="8" t="s">
        <v>192</v>
      </c>
      <c r="B610" s="8" t="s">
        <v>20</v>
      </c>
      <c r="C610" s="8">
        <v>34100.0</v>
      </c>
      <c r="E610" s="3" t="str">
        <f>IFERROR(__xludf.DUMMYFUNCTION("SPLIT(A610,""|"")"),"Vfs/Twitter/20221204/Visitjaipur/5666")</f>
        <v>Vfs/Twitter/20221204/Visitjaipur/5666</v>
      </c>
      <c r="F610" s="3" t="str">
        <f>IFERROR(__xludf.DUMMYFUNCTION("SPLIT(E610,""/"")"),"Vfs")</f>
        <v>Vfs</v>
      </c>
      <c r="G610" s="3" t="str">
        <f>IFERROR(__xludf.DUMMYFUNCTION("""COMPUTED_VALUE"""),"Twitter")</f>
        <v>Twitter</v>
      </c>
      <c r="H610" s="3">
        <f>IFERROR(__xludf.DUMMYFUNCTION("""COMPUTED_VALUE"""),2.0221204E7)</f>
        <v>20221204</v>
      </c>
      <c r="I610" s="3" t="str">
        <f>IFERROR(__xludf.DUMMYFUNCTION("""COMPUTED_VALUE"""),"Visitjaipur")</f>
        <v>Visitjaipur</v>
      </c>
      <c r="J610" s="3">
        <f>IFERROR(__xludf.DUMMYFUNCTION("""COMPUTED_VALUE"""),5666.0)</f>
        <v>5666</v>
      </c>
      <c r="K610" s="3" t="str">
        <f t="shared" ref="K610:L610" si="614">TRIM(F610)</f>
        <v>Vfs</v>
      </c>
      <c r="L610" s="3" t="str">
        <f t="shared" si="614"/>
        <v>Twitter</v>
      </c>
      <c r="M610" s="3" t="str">
        <f t="shared" si="3"/>
        <v>Twitter</v>
      </c>
      <c r="N610" s="3" t="str">
        <f>IFERROR(__xludf.DUMMYFUNCTION("SPLIT(M610,""&amp;"")"),"Twitter")</f>
        <v>Twitter</v>
      </c>
      <c r="O610" s="3" t="str">
        <f t="shared" si="4"/>
        <v>Twitter</v>
      </c>
      <c r="P610" s="3" t="str">
        <f t="shared" si="5"/>
        <v>Visitjaipur</v>
      </c>
      <c r="Q610" s="3" t="str">
        <f t="shared" si="6"/>
        <v>Visitjaipur</v>
      </c>
      <c r="R610" s="3">
        <f t="shared" si="7"/>
        <v>5666</v>
      </c>
    </row>
    <row r="611">
      <c r="A611" s="8" t="s">
        <v>193</v>
      </c>
      <c r="B611" s="8" t="s">
        <v>20</v>
      </c>
      <c r="C611" s="8">
        <v>26800.0</v>
      </c>
      <c r="E611" s="3" t="str">
        <f>IFERROR(__xludf.DUMMYFUNCTION("SPLIT(A611,""|"")"),"Vin/Facebook/20221207/Visitrajasthan/5676")</f>
        <v>Vin/Facebook/20221207/Visitrajasthan/5676</v>
      </c>
      <c r="F611" s="3" t="str">
        <f>IFERROR(__xludf.DUMMYFUNCTION("SPLIT(E611,""/"")"),"Vin")</f>
        <v>Vin</v>
      </c>
      <c r="G611" s="3" t="str">
        <f>IFERROR(__xludf.DUMMYFUNCTION("""COMPUTED_VALUE"""),"Facebook")</f>
        <v>Facebook</v>
      </c>
      <c r="H611" s="3">
        <f>IFERROR(__xludf.DUMMYFUNCTION("""COMPUTED_VALUE"""),2.0221207E7)</f>
        <v>20221207</v>
      </c>
      <c r="I611" s="3" t="str">
        <f>IFERROR(__xludf.DUMMYFUNCTION("""COMPUTED_VALUE"""),"Visitrajasthan")</f>
        <v>Visitrajasthan</v>
      </c>
      <c r="J611" s="3">
        <f>IFERROR(__xludf.DUMMYFUNCTION("""COMPUTED_VALUE"""),5676.0)</f>
        <v>5676</v>
      </c>
      <c r="K611" s="3" t="str">
        <f t="shared" ref="K611:L611" si="615">TRIM(F611)</f>
        <v>Vin</v>
      </c>
      <c r="L611" s="3" t="str">
        <f t="shared" si="615"/>
        <v>Facebook</v>
      </c>
      <c r="M611" s="3" t="str">
        <f t="shared" si="3"/>
        <v>Facebook</v>
      </c>
      <c r="N611" s="3" t="str">
        <f>IFERROR(__xludf.DUMMYFUNCTION("SPLIT(M611,""&amp;"")"),"Facebook")</f>
        <v>Facebook</v>
      </c>
      <c r="O611" s="3" t="str">
        <f t="shared" si="4"/>
        <v>Facebook</v>
      </c>
      <c r="P611" s="3" t="str">
        <f t="shared" si="5"/>
        <v>Visitrajasthan</v>
      </c>
      <c r="Q611" s="3" t="str">
        <f t="shared" si="6"/>
        <v>Visitrajasthan</v>
      </c>
      <c r="R611" s="3">
        <f t="shared" si="7"/>
        <v>5676</v>
      </c>
    </row>
    <row r="612">
      <c r="A612" s="8" t="s">
        <v>194</v>
      </c>
      <c r="B612" s="8" t="s">
        <v>20</v>
      </c>
      <c r="C612" s="8">
        <v>50500.0</v>
      </c>
      <c r="E612" s="3" t="str">
        <f>IFERROR(__xludf.DUMMYFUNCTION("SPLIT(A612,""|"")"),"Neft/Youtube/20221210/Visitrajasthan/4564")</f>
        <v>Neft/Youtube/20221210/Visitrajasthan/4564</v>
      </c>
      <c r="F612" s="3" t="str">
        <f>IFERROR(__xludf.DUMMYFUNCTION("SPLIT(E612,""/"")"),"Neft")</f>
        <v>Neft</v>
      </c>
      <c r="G612" s="3" t="str">
        <f>IFERROR(__xludf.DUMMYFUNCTION("""COMPUTED_VALUE"""),"Youtube")</f>
        <v>Youtube</v>
      </c>
      <c r="H612" s="3">
        <f>IFERROR(__xludf.DUMMYFUNCTION("""COMPUTED_VALUE"""),2.022121E7)</f>
        <v>20221210</v>
      </c>
      <c r="I612" s="3" t="str">
        <f>IFERROR(__xludf.DUMMYFUNCTION("""COMPUTED_VALUE"""),"Visitrajasthan")</f>
        <v>Visitrajasthan</v>
      </c>
      <c r="J612" s="3">
        <f>IFERROR(__xludf.DUMMYFUNCTION("""COMPUTED_VALUE"""),4564.0)</f>
        <v>4564</v>
      </c>
      <c r="K612" s="3" t="str">
        <f t="shared" ref="K612:L612" si="616">TRIM(F612)</f>
        <v>Neft</v>
      </c>
      <c r="L612" s="3" t="str">
        <f t="shared" si="616"/>
        <v>Youtube</v>
      </c>
      <c r="M612" s="3" t="str">
        <f t="shared" si="3"/>
        <v>Youtube</v>
      </c>
      <c r="N612" s="3" t="str">
        <f>IFERROR(__xludf.DUMMYFUNCTION("SPLIT(M612,""&amp;"")"),"Youtube")</f>
        <v>Youtube</v>
      </c>
      <c r="O612" s="3" t="str">
        <f t="shared" si="4"/>
        <v>Youtube</v>
      </c>
      <c r="P612" s="3" t="str">
        <f t="shared" si="5"/>
        <v>Visitrajasthan</v>
      </c>
      <c r="Q612" s="3" t="str">
        <f t="shared" si="6"/>
        <v>Visitrajasthan</v>
      </c>
      <c r="R612" s="3">
        <f t="shared" si="7"/>
        <v>4564</v>
      </c>
    </row>
    <row r="613">
      <c r="A613" s="8" t="s">
        <v>195</v>
      </c>
      <c r="B613" s="8" t="s">
        <v>20</v>
      </c>
      <c r="C613" s="8">
        <v>37600.0</v>
      </c>
      <c r="E613" s="3" t="str">
        <f>IFERROR(__xludf.DUMMYFUNCTION("SPLIT(A613,""|"")"),"Chq/Instagram/20221213/Visitrajasthan/4565")</f>
        <v>Chq/Instagram/20221213/Visitrajasthan/4565</v>
      </c>
      <c r="F613" s="3" t="str">
        <f>IFERROR(__xludf.DUMMYFUNCTION("SPLIT(E613,""/"")"),"Chq")</f>
        <v>Chq</v>
      </c>
      <c r="G613" s="3" t="str">
        <f>IFERROR(__xludf.DUMMYFUNCTION("""COMPUTED_VALUE"""),"Instagram")</f>
        <v>Instagram</v>
      </c>
      <c r="H613" s="3">
        <f>IFERROR(__xludf.DUMMYFUNCTION("""COMPUTED_VALUE"""),2.0221213E7)</f>
        <v>20221213</v>
      </c>
      <c r="I613" s="3" t="str">
        <f>IFERROR(__xludf.DUMMYFUNCTION("""COMPUTED_VALUE"""),"Visitrajasthan")</f>
        <v>Visitrajasthan</v>
      </c>
      <c r="J613" s="3">
        <f>IFERROR(__xludf.DUMMYFUNCTION("""COMPUTED_VALUE"""),4565.0)</f>
        <v>4565</v>
      </c>
      <c r="K613" s="3" t="str">
        <f t="shared" ref="K613:L613" si="617">TRIM(F613)</f>
        <v>Chq</v>
      </c>
      <c r="L613" s="3" t="str">
        <f t="shared" si="617"/>
        <v>Instagram</v>
      </c>
      <c r="M613" s="3" t="str">
        <f t="shared" si="3"/>
        <v>Instagram</v>
      </c>
      <c r="N613" s="3" t="str">
        <f>IFERROR(__xludf.DUMMYFUNCTION("SPLIT(M613,""&amp;"")"),"Instagram")</f>
        <v>Instagram</v>
      </c>
      <c r="O613" s="3" t="str">
        <f t="shared" si="4"/>
        <v>Instagram</v>
      </c>
      <c r="P613" s="3" t="str">
        <f t="shared" si="5"/>
        <v>Visitrajasthan</v>
      </c>
      <c r="Q613" s="3" t="str">
        <f t="shared" si="6"/>
        <v>Visitrajasthan</v>
      </c>
      <c r="R613" s="3">
        <f t="shared" si="7"/>
        <v>4565</v>
      </c>
    </row>
    <row r="614">
      <c r="A614" s="8" t="s">
        <v>196</v>
      </c>
      <c r="B614" s="8" t="s">
        <v>20</v>
      </c>
      <c r="C614" s="8">
        <v>20700.0</v>
      </c>
      <c r="E614" s="3" t="str">
        <f>IFERROR(__xludf.DUMMYFUNCTION("SPLIT(A614,""|"")"),"Vfs/Offline/20221216/Visitrajasthan/4566")</f>
        <v>Vfs/Offline/20221216/Visitrajasthan/4566</v>
      </c>
      <c r="F614" s="3" t="str">
        <f>IFERROR(__xludf.DUMMYFUNCTION("SPLIT(E614,""/"")"),"Vfs")</f>
        <v>Vfs</v>
      </c>
      <c r="G614" s="3" t="str">
        <f>IFERROR(__xludf.DUMMYFUNCTION("""COMPUTED_VALUE"""),"Offline")</f>
        <v>Offline</v>
      </c>
      <c r="H614" s="3">
        <f>IFERROR(__xludf.DUMMYFUNCTION("""COMPUTED_VALUE"""),2.0221216E7)</f>
        <v>20221216</v>
      </c>
      <c r="I614" s="3" t="str">
        <f>IFERROR(__xludf.DUMMYFUNCTION("""COMPUTED_VALUE"""),"Visitrajasthan")</f>
        <v>Visitrajasthan</v>
      </c>
      <c r="J614" s="3">
        <f>IFERROR(__xludf.DUMMYFUNCTION("""COMPUTED_VALUE"""),4566.0)</f>
        <v>4566</v>
      </c>
      <c r="K614" s="3" t="str">
        <f t="shared" ref="K614:L614" si="618">TRIM(F614)</f>
        <v>Vfs</v>
      </c>
      <c r="L614" s="3" t="str">
        <f t="shared" si="618"/>
        <v>Offline</v>
      </c>
      <c r="M614" s="3" t="str">
        <f t="shared" si="3"/>
        <v>Offline</v>
      </c>
      <c r="N614" s="3" t="str">
        <f>IFERROR(__xludf.DUMMYFUNCTION("SPLIT(M614,""&amp;"")"),"Offline")</f>
        <v>Offline</v>
      </c>
      <c r="O614" s="3" t="str">
        <f t="shared" si="4"/>
        <v>Offline</v>
      </c>
      <c r="P614" s="3" t="str">
        <f t="shared" si="5"/>
        <v>Visitrajasthan</v>
      </c>
      <c r="Q614" s="3" t="str">
        <f t="shared" si="6"/>
        <v>Visitrajasthan</v>
      </c>
      <c r="R614" s="3">
        <f t="shared" si="7"/>
        <v>4566</v>
      </c>
    </row>
    <row r="615">
      <c r="A615" s="8" t="s">
        <v>197</v>
      </c>
      <c r="B615" s="8" t="s">
        <v>20</v>
      </c>
      <c r="C615" s="8">
        <v>71900.0</v>
      </c>
      <c r="E615" s="3" t="str">
        <f>IFERROR(__xludf.DUMMYFUNCTION("SPLIT(A615,""|"")"),"Vin/Google Ads/20221219/Visitrajasthan/3455")</f>
        <v>Vin/Google Ads/20221219/Visitrajasthan/3455</v>
      </c>
      <c r="F615" s="3" t="str">
        <f>IFERROR(__xludf.DUMMYFUNCTION("SPLIT(E615,""/"")"),"Vin")</f>
        <v>Vin</v>
      </c>
      <c r="G615" s="3" t="str">
        <f>IFERROR(__xludf.DUMMYFUNCTION("""COMPUTED_VALUE"""),"Google Ads")</f>
        <v>Google Ads</v>
      </c>
      <c r="H615" s="3">
        <f>IFERROR(__xludf.DUMMYFUNCTION("""COMPUTED_VALUE"""),2.0221219E7)</f>
        <v>20221219</v>
      </c>
      <c r="I615" s="3" t="str">
        <f>IFERROR(__xludf.DUMMYFUNCTION("""COMPUTED_VALUE"""),"Visitrajasthan")</f>
        <v>Visitrajasthan</v>
      </c>
      <c r="J615" s="3">
        <f>IFERROR(__xludf.DUMMYFUNCTION("""COMPUTED_VALUE"""),3455.0)</f>
        <v>3455</v>
      </c>
      <c r="K615" s="3" t="str">
        <f t="shared" ref="K615:L615" si="619">TRIM(F615)</f>
        <v>Vin</v>
      </c>
      <c r="L615" s="3" t="str">
        <f t="shared" si="619"/>
        <v>Google Ads</v>
      </c>
      <c r="M615" s="3" t="str">
        <f t="shared" si="3"/>
        <v>Google Ads</v>
      </c>
      <c r="N615" s="3" t="str">
        <f>IFERROR(__xludf.DUMMYFUNCTION("SPLIT(M615,""&amp;"")"),"Google Ads")</f>
        <v>Google Ads</v>
      </c>
      <c r="O615" s="3" t="str">
        <f t="shared" si="4"/>
        <v>Google Ads</v>
      </c>
      <c r="P615" s="3" t="str">
        <f t="shared" si="5"/>
        <v>Visitrajasthan</v>
      </c>
      <c r="Q615" s="3" t="str">
        <f t="shared" si="6"/>
        <v>Visitrajasthan</v>
      </c>
      <c r="R615" s="3">
        <f t="shared" si="7"/>
        <v>3455</v>
      </c>
    </row>
    <row r="616">
      <c r="A616" s="8" t="s">
        <v>198</v>
      </c>
      <c r="B616" s="8" t="s">
        <v>20</v>
      </c>
      <c r="C616" s="8">
        <v>48500.0</v>
      </c>
      <c r="E616" s="3" t="str">
        <f>IFERROR(__xludf.DUMMYFUNCTION("SPLIT(A616,""|"")"),"Chq/Twitter/20221222/Visitrajasthan/5666")</f>
        <v>Chq/Twitter/20221222/Visitrajasthan/5666</v>
      </c>
      <c r="F616" s="3" t="str">
        <f>IFERROR(__xludf.DUMMYFUNCTION("SPLIT(E616,""/"")"),"Chq")</f>
        <v>Chq</v>
      </c>
      <c r="G616" s="3" t="str">
        <f>IFERROR(__xludf.DUMMYFUNCTION("""COMPUTED_VALUE"""),"Twitter")</f>
        <v>Twitter</v>
      </c>
      <c r="H616" s="3">
        <f>IFERROR(__xludf.DUMMYFUNCTION("""COMPUTED_VALUE"""),2.0221222E7)</f>
        <v>20221222</v>
      </c>
      <c r="I616" s="3" t="str">
        <f>IFERROR(__xludf.DUMMYFUNCTION("""COMPUTED_VALUE"""),"Visitrajasthan")</f>
        <v>Visitrajasthan</v>
      </c>
      <c r="J616" s="3">
        <f>IFERROR(__xludf.DUMMYFUNCTION("""COMPUTED_VALUE"""),5666.0)</f>
        <v>5666</v>
      </c>
      <c r="K616" s="3" t="str">
        <f t="shared" ref="K616:L616" si="620">TRIM(F616)</f>
        <v>Chq</v>
      </c>
      <c r="L616" s="3" t="str">
        <f t="shared" si="620"/>
        <v>Twitter</v>
      </c>
      <c r="M616" s="3" t="str">
        <f t="shared" si="3"/>
        <v>Twitter</v>
      </c>
      <c r="N616" s="3" t="str">
        <f>IFERROR(__xludf.DUMMYFUNCTION("SPLIT(M616,""&amp;"")"),"Twitter")</f>
        <v>Twitter</v>
      </c>
      <c r="O616" s="3" t="str">
        <f t="shared" si="4"/>
        <v>Twitter</v>
      </c>
      <c r="P616" s="3" t="str">
        <f t="shared" si="5"/>
        <v>Visitrajasthan</v>
      </c>
      <c r="Q616" s="3" t="str">
        <f t="shared" si="6"/>
        <v>Visitrajasthan</v>
      </c>
      <c r="R616" s="3">
        <f t="shared" si="7"/>
        <v>5666</v>
      </c>
    </row>
    <row r="617">
      <c r="A617" s="8" t="s">
        <v>199</v>
      </c>
      <c r="B617" s="8" t="s">
        <v>20</v>
      </c>
      <c r="C617" s="8">
        <v>13900.0</v>
      </c>
      <c r="E617" s="3" t="str">
        <f>IFERROR(__xludf.DUMMYFUNCTION("SPLIT(A617,""|"")"),"Vfs/Facebook/20221225/Visitudaipur/5676")</f>
        <v>Vfs/Facebook/20221225/Visitudaipur/5676</v>
      </c>
      <c r="F617" s="3" t="str">
        <f>IFERROR(__xludf.DUMMYFUNCTION("SPLIT(E617,""/"")"),"Vfs")</f>
        <v>Vfs</v>
      </c>
      <c r="G617" s="3" t="str">
        <f>IFERROR(__xludf.DUMMYFUNCTION("""COMPUTED_VALUE"""),"Facebook")</f>
        <v>Facebook</v>
      </c>
      <c r="H617" s="3">
        <f>IFERROR(__xludf.DUMMYFUNCTION("""COMPUTED_VALUE"""),2.0221225E7)</f>
        <v>20221225</v>
      </c>
      <c r="I617" s="3" t="str">
        <f>IFERROR(__xludf.DUMMYFUNCTION("""COMPUTED_VALUE"""),"Visitudaipur")</f>
        <v>Visitudaipur</v>
      </c>
      <c r="J617" s="3">
        <f>IFERROR(__xludf.DUMMYFUNCTION("""COMPUTED_VALUE"""),5676.0)</f>
        <v>5676</v>
      </c>
      <c r="K617" s="3" t="str">
        <f t="shared" ref="K617:L617" si="621">TRIM(F617)</f>
        <v>Vfs</v>
      </c>
      <c r="L617" s="3" t="str">
        <f t="shared" si="621"/>
        <v>Facebook</v>
      </c>
      <c r="M617" s="3" t="str">
        <f t="shared" si="3"/>
        <v>Facebook</v>
      </c>
      <c r="N617" s="3" t="str">
        <f>IFERROR(__xludf.DUMMYFUNCTION("SPLIT(M617,""&amp;"")"),"Facebook")</f>
        <v>Facebook</v>
      </c>
      <c r="O617" s="3" t="str">
        <f t="shared" si="4"/>
        <v>Facebook</v>
      </c>
      <c r="P617" s="3" t="str">
        <f t="shared" si="5"/>
        <v>Visitudaipur</v>
      </c>
      <c r="Q617" s="3" t="str">
        <f t="shared" si="6"/>
        <v>Visitudaipur</v>
      </c>
      <c r="R617" s="3">
        <f t="shared" si="7"/>
        <v>5676</v>
      </c>
    </row>
    <row r="618">
      <c r="A618" s="8" t="s">
        <v>200</v>
      </c>
      <c r="B618" s="8" t="s">
        <v>20</v>
      </c>
      <c r="C618" s="8">
        <v>42800.0</v>
      </c>
      <c r="E618" s="3" t="str">
        <f>IFERROR(__xludf.DUMMYFUNCTION("SPLIT(A618,""|"")"),"Neft/Youtube/20221228/Visitudaipur/4564")</f>
        <v>Neft/Youtube/20221228/Visitudaipur/4564</v>
      </c>
      <c r="F618" s="3" t="str">
        <f>IFERROR(__xludf.DUMMYFUNCTION("SPLIT(E618,""/"")"),"Neft")</f>
        <v>Neft</v>
      </c>
      <c r="G618" s="3" t="str">
        <f>IFERROR(__xludf.DUMMYFUNCTION("""COMPUTED_VALUE"""),"Youtube")</f>
        <v>Youtube</v>
      </c>
      <c r="H618" s="3">
        <f>IFERROR(__xludf.DUMMYFUNCTION("""COMPUTED_VALUE"""),2.0221228E7)</f>
        <v>20221228</v>
      </c>
      <c r="I618" s="3" t="str">
        <f>IFERROR(__xludf.DUMMYFUNCTION("""COMPUTED_VALUE"""),"Visitudaipur")</f>
        <v>Visitudaipur</v>
      </c>
      <c r="J618" s="3">
        <f>IFERROR(__xludf.DUMMYFUNCTION("""COMPUTED_VALUE"""),4564.0)</f>
        <v>4564</v>
      </c>
      <c r="K618" s="3" t="str">
        <f t="shared" ref="K618:L618" si="622">TRIM(F618)</f>
        <v>Neft</v>
      </c>
      <c r="L618" s="3" t="str">
        <f t="shared" si="622"/>
        <v>Youtube</v>
      </c>
      <c r="M618" s="3" t="str">
        <f t="shared" si="3"/>
        <v>Youtube</v>
      </c>
      <c r="N618" s="3" t="str">
        <f>IFERROR(__xludf.DUMMYFUNCTION("SPLIT(M618,""&amp;"")"),"Youtube")</f>
        <v>Youtube</v>
      </c>
      <c r="O618" s="3" t="str">
        <f t="shared" si="4"/>
        <v>Youtube</v>
      </c>
      <c r="P618" s="3" t="str">
        <f t="shared" si="5"/>
        <v>Visitudaipur</v>
      </c>
      <c r="Q618" s="3" t="str">
        <f t="shared" si="6"/>
        <v>Visitudaipur</v>
      </c>
      <c r="R618" s="3">
        <f t="shared" si="7"/>
        <v>4564</v>
      </c>
    </row>
    <row r="619">
      <c r="A619" s="8" t="s">
        <v>201</v>
      </c>
      <c r="B619" s="8" t="s">
        <v>20</v>
      </c>
      <c r="C619" s="8">
        <v>28000.0</v>
      </c>
      <c r="E619" s="3" t="str">
        <f>IFERROR(__xludf.DUMMYFUNCTION("SPLIT(A619,""|"")"),"Chq/Instagram/20221201/Visitudaipur/4565")</f>
        <v>Chq/Instagram/20221201/Visitudaipur/4565</v>
      </c>
      <c r="F619" s="3" t="str">
        <f>IFERROR(__xludf.DUMMYFUNCTION("SPLIT(E619,""/"")"),"Chq")</f>
        <v>Chq</v>
      </c>
      <c r="G619" s="3" t="str">
        <f>IFERROR(__xludf.DUMMYFUNCTION("""COMPUTED_VALUE"""),"Instagram")</f>
        <v>Instagram</v>
      </c>
      <c r="H619" s="3">
        <f>IFERROR(__xludf.DUMMYFUNCTION("""COMPUTED_VALUE"""),2.0221201E7)</f>
        <v>20221201</v>
      </c>
      <c r="I619" s="3" t="str">
        <f>IFERROR(__xludf.DUMMYFUNCTION("""COMPUTED_VALUE"""),"Visitudaipur")</f>
        <v>Visitudaipur</v>
      </c>
      <c r="J619" s="3">
        <f>IFERROR(__xludf.DUMMYFUNCTION("""COMPUTED_VALUE"""),4565.0)</f>
        <v>4565</v>
      </c>
      <c r="K619" s="3" t="str">
        <f t="shared" ref="K619:L619" si="623">TRIM(F619)</f>
        <v>Chq</v>
      </c>
      <c r="L619" s="3" t="str">
        <f t="shared" si="623"/>
        <v>Instagram</v>
      </c>
      <c r="M619" s="3" t="str">
        <f t="shared" si="3"/>
        <v>Instagram</v>
      </c>
      <c r="N619" s="3" t="str">
        <f>IFERROR(__xludf.DUMMYFUNCTION("SPLIT(M619,""&amp;"")"),"Instagram")</f>
        <v>Instagram</v>
      </c>
      <c r="O619" s="3" t="str">
        <f t="shared" si="4"/>
        <v>Instagram</v>
      </c>
      <c r="P619" s="3" t="str">
        <f t="shared" si="5"/>
        <v>Visitudaipur</v>
      </c>
      <c r="Q619" s="3" t="str">
        <f t="shared" si="6"/>
        <v>Visitudaipur</v>
      </c>
      <c r="R619" s="3">
        <f t="shared" si="7"/>
        <v>4565</v>
      </c>
    </row>
    <row r="620">
      <c r="A620" s="8" t="s">
        <v>202</v>
      </c>
      <c r="B620" s="8" t="s">
        <v>20</v>
      </c>
      <c r="C620" s="8">
        <v>48600.0</v>
      </c>
      <c r="E620" s="3" t="str">
        <f>IFERROR(__xludf.DUMMYFUNCTION("SPLIT(A620,""|"")"),"Vfs/Offline/20221204/Visitudaipur/4566")</f>
        <v>Vfs/Offline/20221204/Visitudaipur/4566</v>
      </c>
      <c r="F620" s="3" t="str">
        <f>IFERROR(__xludf.DUMMYFUNCTION("SPLIT(E620,""/"")"),"Vfs")</f>
        <v>Vfs</v>
      </c>
      <c r="G620" s="3" t="str">
        <f>IFERROR(__xludf.DUMMYFUNCTION("""COMPUTED_VALUE"""),"Offline")</f>
        <v>Offline</v>
      </c>
      <c r="H620" s="3">
        <f>IFERROR(__xludf.DUMMYFUNCTION("""COMPUTED_VALUE"""),2.0221204E7)</f>
        <v>20221204</v>
      </c>
      <c r="I620" s="3" t="str">
        <f>IFERROR(__xludf.DUMMYFUNCTION("""COMPUTED_VALUE"""),"Visitudaipur")</f>
        <v>Visitudaipur</v>
      </c>
      <c r="J620" s="3">
        <f>IFERROR(__xludf.DUMMYFUNCTION("""COMPUTED_VALUE"""),4566.0)</f>
        <v>4566</v>
      </c>
      <c r="K620" s="3" t="str">
        <f t="shared" ref="K620:L620" si="624">TRIM(F620)</f>
        <v>Vfs</v>
      </c>
      <c r="L620" s="3" t="str">
        <f t="shared" si="624"/>
        <v>Offline</v>
      </c>
      <c r="M620" s="3" t="str">
        <f t="shared" si="3"/>
        <v>Offline</v>
      </c>
      <c r="N620" s="3" t="str">
        <f>IFERROR(__xludf.DUMMYFUNCTION("SPLIT(M620,""&amp;"")"),"Offline")</f>
        <v>Offline</v>
      </c>
      <c r="O620" s="3" t="str">
        <f t="shared" si="4"/>
        <v>Offline</v>
      </c>
      <c r="P620" s="3" t="str">
        <f t="shared" si="5"/>
        <v>Visitudaipur</v>
      </c>
      <c r="Q620" s="3" t="str">
        <f t="shared" si="6"/>
        <v>Visitudaipur</v>
      </c>
      <c r="R620" s="3">
        <f t="shared" si="7"/>
        <v>4566</v>
      </c>
    </row>
    <row r="621">
      <c r="A621" s="8" t="s">
        <v>203</v>
      </c>
      <c r="B621" s="8" t="s">
        <v>20</v>
      </c>
      <c r="C621" s="8">
        <v>47800.0</v>
      </c>
      <c r="E621" s="3" t="str">
        <f>IFERROR(__xludf.DUMMYFUNCTION("SPLIT(A621,""|"")"),"Vin/Google Ads/20221207/Visitudaipur/3455")</f>
        <v>Vin/Google Ads/20221207/Visitudaipur/3455</v>
      </c>
      <c r="F621" s="3" t="str">
        <f>IFERROR(__xludf.DUMMYFUNCTION("SPLIT(E621,""/"")"),"Vin")</f>
        <v>Vin</v>
      </c>
      <c r="G621" s="3" t="str">
        <f>IFERROR(__xludf.DUMMYFUNCTION("""COMPUTED_VALUE"""),"Google Ads")</f>
        <v>Google Ads</v>
      </c>
      <c r="H621" s="3">
        <f>IFERROR(__xludf.DUMMYFUNCTION("""COMPUTED_VALUE"""),2.0221207E7)</f>
        <v>20221207</v>
      </c>
      <c r="I621" s="3" t="str">
        <f>IFERROR(__xludf.DUMMYFUNCTION("""COMPUTED_VALUE"""),"Visitudaipur")</f>
        <v>Visitudaipur</v>
      </c>
      <c r="J621" s="3">
        <f>IFERROR(__xludf.DUMMYFUNCTION("""COMPUTED_VALUE"""),3455.0)</f>
        <v>3455</v>
      </c>
      <c r="K621" s="3" t="str">
        <f t="shared" ref="K621:L621" si="625">TRIM(F621)</f>
        <v>Vin</v>
      </c>
      <c r="L621" s="3" t="str">
        <f t="shared" si="625"/>
        <v>Google Ads</v>
      </c>
      <c r="M621" s="3" t="str">
        <f t="shared" si="3"/>
        <v>Google Ads</v>
      </c>
      <c r="N621" s="3" t="str">
        <f>IFERROR(__xludf.DUMMYFUNCTION("SPLIT(M621,""&amp;"")"),"Google Ads")</f>
        <v>Google Ads</v>
      </c>
      <c r="O621" s="3" t="str">
        <f t="shared" si="4"/>
        <v>Google Ads</v>
      </c>
      <c r="P621" s="3" t="str">
        <f t="shared" si="5"/>
        <v>Visitudaipur</v>
      </c>
      <c r="Q621" s="3" t="str">
        <f t="shared" si="6"/>
        <v>Visitudaipur</v>
      </c>
      <c r="R621" s="3">
        <f t="shared" si="7"/>
        <v>3455</v>
      </c>
    </row>
    <row r="622">
      <c r="A622" s="8" t="s">
        <v>204</v>
      </c>
      <c r="B622" s="8" t="s">
        <v>20</v>
      </c>
      <c r="C622" s="8">
        <v>98500.0</v>
      </c>
      <c r="E622" s="3" t="str">
        <f>IFERROR(__xludf.DUMMYFUNCTION("SPLIT(A622,""|"")"),"Neft/Twitter/20221210/Visitudaipur/5666")</f>
        <v>Neft/Twitter/20221210/Visitudaipur/5666</v>
      </c>
      <c r="F622" s="3" t="str">
        <f>IFERROR(__xludf.DUMMYFUNCTION("SPLIT(E622,""/"")"),"Neft")</f>
        <v>Neft</v>
      </c>
      <c r="G622" s="3" t="str">
        <f>IFERROR(__xludf.DUMMYFUNCTION("""COMPUTED_VALUE"""),"Twitter")</f>
        <v>Twitter</v>
      </c>
      <c r="H622" s="3">
        <f>IFERROR(__xludf.DUMMYFUNCTION("""COMPUTED_VALUE"""),2.022121E7)</f>
        <v>20221210</v>
      </c>
      <c r="I622" s="3" t="str">
        <f>IFERROR(__xludf.DUMMYFUNCTION("""COMPUTED_VALUE"""),"Visitudaipur")</f>
        <v>Visitudaipur</v>
      </c>
      <c r="J622" s="3">
        <f>IFERROR(__xludf.DUMMYFUNCTION("""COMPUTED_VALUE"""),5666.0)</f>
        <v>5666</v>
      </c>
      <c r="K622" s="3" t="str">
        <f t="shared" ref="K622:L622" si="626">TRIM(F622)</f>
        <v>Neft</v>
      </c>
      <c r="L622" s="3" t="str">
        <f t="shared" si="626"/>
        <v>Twitter</v>
      </c>
      <c r="M622" s="3" t="str">
        <f t="shared" si="3"/>
        <v>Twitter</v>
      </c>
      <c r="N622" s="3" t="str">
        <f>IFERROR(__xludf.DUMMYFUNCTION("SPLIT(M622,""&amp;"")"),"Twitter")</f>
        <v>Twitter</v>
      </c>
      <c r="O622" s="3" t="str">
        <f t="shared" si="4"/>
        <v>Twitter</v>
      </c>
      <c r="P622" s="3" t="str">
        <f t="shared" si="5"/>
        <v>Visitudaipur</v>
      </c>
      <c r="Q622" s="3" t="str">
        <f t="shared" si="6"/>
        <v>Visitudaipur</v>
      </c>
      <c r="R622" s="3">
        <f t="shared" si="7"/>
        <v>5666</v>
      </c>
    </row>
    <row r="623">
      <c r="A623" s="8" t="s">
        <v>205</v>
      </c>
      <c r="B623" s="8" t="s">
        <v>20</v>
      </c>
      <c r="C623" s="8">
        <v>48200.0</v>
      </c>
      <c r="E623" s="3" t="str">
        <f>IFERROR(__xludf.DUMMYFUNCTION("SPLIT(A623,""|"")"),"Chq/Facebook/20221213/Visitjodhpur/5676")</f>
        <v>Chq/Facebook/20221213/Visitjodhpur/5676</v>
      </c>
      <c r="F623" s="3" t="str">
        <f>IFERROR(__xludf.DUMMYFUNCTION("SPLIT(E623,""/"")"),"Chq")</f>
        <v>Chq</v>
      </c>
      <c r="G623" s="3" t="str">
        <f>IFERROR(__xludf.DUMMYFUNCTION("""COMPUTED_VALUE"""),"Facebook")</f>
        <v>Facebook</v>
      </c>
      <c r="H623" s="3">
        <f>IFERROR(__xludf.DUMMYFUNCTION("""COMPUTED_VALUE"""),2.0221213E7)</f>
        <v>20221213</v>
      </c>
      <c r="I623" s="3" t="str">
        <f>IFERROR(__xludf.DUMMYFUNCTION("""COMPUTED_VALUE"""),"Visitjodhpur")</f>
        <v>Visitjodhpur</v>
      </c>
      <c r="J623" s="3">
        <f>IFERROR(__xludf.DUMMYFUNCTION("""COMPUTED_VALUE"""),5676.0)</f>
        <v>5676</v>
      </c>
      <c r="K623" s="3" t="str">
        <f t="shared" ref="K623:L623" si="627">TRIM(F623)</f>
        <v>Chq</v>
      </c>
      <c r="L623" s="3" t="str">
        <f t="shared" si="627"/>
        <v>Facebook</v>
      </c>
      <c r="M623" s="3" t="str">
        <f t="shared" si="3"/>
        <v>Facebook</v>
      </c>
      <c r="N623" s="3" t="str">
        <f>IFERROR(__xludf.DUMMYFUNCTION("SPLIT(M623,""&amp;"")"),"Facebook")</f>
        <v>Facebook</v>
      </c>
      <c r="O623" s="3" t="str">
        <f t="shared" si="4"/>
        <v>Facebook</v>
      </c>
      <c r="P623" s="3" t="str">
        <f t="shared" si="5"/>
        <v>Visitjodhpur</v>
      </c>
      <c r="Q623" s="3" t="str">
        <f t="shared" si="6"/>
        <v>Visitjodhpur</v>
      </c>
      <c r="R623" s="3">
        <f t="shared" si="7"/>
        <v>5676</v>
      </c>
    </row>
    <row r="624">
      <c r="A624" s="8" t="s">
        <v>206</v>
      </c>
      <c r="B624" s="8" t="s">
        <v>20</v>
      </c>
      <c r="C624" s="8">
        <v>94300.0</v>
      </c>
      <c r="E624" s="3" t="str">
        <f>IFERROR(__xludf.DUMMYFUNCTION("SPLIT(A624,""|"")"),"Vfs/Youtube/20221216/Visitjodhpur/4564")</f>
        <v>Vfs/Youtube/20221216/Visitjodhpur/4564</v>
      </c>
      <c r="F624" s="3" t="str">
        <f>IFERROR(__xludf.DUMMYFUNCTION("SPLIT(E624,""/"")"),"Vfs")</f>
        <v>Vfs</v>
      </c>
      <c r="G624" s="3" t="str">
        <f>IFERROR(__xludf.DUMMYFUNCTION("""COMPUTED_VALUE"""),"Youtube")</f>
        <v>Youtube</v>
      </c>
      <c r="H624" s="3">
        <f>IFERROR(__xludf.DUMMYFUNCTION("""COMPUTED_VALUE"""),2.0221216E7)</f>
        <v>20221216</v>
      </c>
      <c r="I624" s="3" t="str">
        <f>IFERROR(__xludf.DUMMYFUNCTION("""COMPUTED_VALUE"""),"Visitjodhpur")</f>
        <v>Visitjodhpur</v>
      </c>
      <c r="J624" s="3">
        <f>IFERROR(__xludf.DUMMYFUNCTION("""COMPUTED_VALUE"""),4564.0)</f>
        <v>4564</v>
      </c>
      <c r="K624" s="3" t="str">
        <f t="shared" ref="K624:L624" si="628">TRIM(F624)</f>
        <v>Vfs</v>
      </c>
      <c r="L624" s="3" t="str">
        <f t="shared" si="628"/>
        <v>Youtube</v>
      </c>
      <c r="M624" s="3" t="str">
        <f t="shared" si="3"/>
        <v>Youtube</v>
      </c>
      <c r="N624" s="3" t="str">
        <f>IFERROR(__xludf.DUMMYFUNCTION("SPLIT(M624,""&amp;"")"),"Youtube")</f>
        <v>Youtube</v>
      </c>
      <c r="O624" s="3" t="str">
        <f t="shared" si="4"/>
        <v>Youtube</v>
      </c>
      <c r="P624" s="3" t="str">
        <f t="shared" si="5"/>
        <v>Visitjodhpur</v>
      </c>
      <c r="Q624" s="3" t="str">
        <f t="shared" si="6"/>
        <v>Visitjodhpur</v>
      </c>
      <c r="R624" s="3">
        <f t="shared" si="7"/>
        <v>4564</v>
      </c>
    </row>
    <row r="625">
      <c r="A625" s="8" t="s">
        <v>207</v>
      </c>
      <c r="B625" s="8" t="s">
        <v>20</v>
      </c>
      <c r="C625" s="8">
        <v>69600.0</v>
      </c>
      <c r="E625" s="3" t="str">
        <f>IFERROR(__xludf.DUMMYFUNCTION("SPLIT(A625,""|"")"),"Vin/Instagram/20221219/Visitjodhpur/4565")</f>
        <v>Vin/Instagram/20221219/Visitjodhpur/4565</v>
      </c>
      <c r="F625" s="3" t="str">
        <f>IFERROR(__xludf.DUMMYFUNCTION("SPLIT(E625,""/"")"),"Vin")</f>
        <v>Vin</v>
      </c>
      <c r="G625" s="3" t="str">
        <f>IFERROR(__xludf.DUMMYFUNCTION("""COMPUTED_VALUE"""),"Instagram")</f>
        <v>Instagram</v>
      </c>
      <c r="H625" s="3">
        <f>IFERROR(__xludf.DUMMYFUNCTION("""COMPUTED_VALUE"""),2.0221219E7)</f>
        <v>20221219</v>
      </c>
      <c r="I625" s="3" t="str">
        <f>IFERROR(__xludf.DUMMYFUNCTION("""COMPUTED_VALUE"""),"Visitjodhpur")</f>
        <v>Visitjodhpur</v>
      </c>
      <c r="J625" s="3">
        <f>IFERROR(__xludf.DUMMYFUNCTION("""COMPUTED_VALUE"""),4565.0)</f>
        <v>4565</v>
      </c>
      <c r="K625" s="3" t="str">
        <f t="shared" ref="K625:L625" si="629">TRIM(F625)</f>
        <v>Vin</v>
      </c>
      <c r="L625" s="3" t="str">
        <f t="shared" si="629"/>
        <v>Instagram</v>
      </c>
      <c r="M625" s="3" t="str">
        <f t="shared" si="3"/>
        <v>Instagram</v>
      </c>
      <c r="N625" s="3" t="str">
        <f>IFERROR(__xludf.DUMMYFUNCTION("SPLIT(M625,""&amp;"")"),"Instagram")</f>
        <v>Instagram</v>
      </c>
      <c r="O625" s="3" t="str">
        <f t="shared" si="4"/>
        <v>Instagram</v>
      </c>
      <c r="P625" s="3" t="str">
        <f t="shared" si="5"/>
        <v>Visitjodhpur</v>
      </c>
      <c r="Q625" s="3" t="str">
        <f t="shared" si="6"/>
        <v>Visitjodhpur</v>
      </c>
      <c r="R625" s="3">
        <f t="shared" si="7"/>
        <v>4565</v>
      </c>
    </row>
    <row r="626">
      <c r="A626" s="8" t="s">
        <v>208</v>
      </c>
      <c r="B626" s="8" t="s">
        <v>20</v>
      </c>
      <c r="C626" s="8">
        <v>73400.0</v>
      </c>
      <c r="E626" s="3" t="str">
        <f>IFERROR(__xludf.DUMMYFUNCTION("SPLIT(A626,""|"")"),"Chq/Offline/20221222/Visitjodhpur/4566")</f>
        <v>Chq/Offline/20221222/Visitjodhpur/4566</v>
      </c>
      <c r="F626" s="3" t="str">
        <f>IFERROR(__xludf.DUMMYFUNCTION("SPLIT(E626,""/"")"),"Chq")</f>
        <v>Chq</v>
      </c>
      <c r="G626" s="3" t="str">
        <f>IFERROR(__xludf.DUMMYFUNCTION("""COMPUTED_VALUE"""),"Offline")</f>
        <v>Offline</v>
      </c>
      <c r="H626" s="3">
        <f>IFERROR(__xludf.DUMMYFUNCTION("""COMPUTED_VALUE"""),2.0221222E7)</f>
        <v>20221222</v>
      </c>
      <c r="I626" s="3" t="str">
        <f>IFERROR(__xludf.DUMMYFUNCTION("""COMPUTED_VALUE"""),"Visitjodhpur")</f>
        <v>Visitjodhpur</v>
      </c>
      <c r="J626" s="3">
        <f>IFERROR(__xludf.DUMMYFUNCTION("""COMPUTED_VALUE"""),4566.0)</f>
        <v>4566</v>
      </c>
      <c r="K626" s="3" t="str">
        <f t="shared" ref="K626:L626" si="630">TRIM(F626)</f>
        <v>Chq</v>
      </c>
      <c r="L626" s="3" t="str">
        <f t="shared" si="630"/>
        <v>Offline</v>
      </c>
      <c r="M626" s="3" t="str">
        <f t="shared" si="3"/>
        <v>Offline</v>
      </c>
      <c r="N626" s="3" t="str">
        <f>IFERROR(__xludf.DUMMYFUNCTION("SPLIT(M626,""&amp;"")"),"Offline")</f>
        <v>Offline</v>
      </c>
      <c r="O626" s="3" t="str">
        <f t="shared" si="4"/>
        <v>Offline</v>
      </c>
      <c r="P626" s="3" t="str">
        <f t="shared" si="5"/>
        <v>Visitjodhpur</v>
      </c>
      <c r="Q626" s="3" t="str">
        <f t="shared" si="6"/>
        <v>Visitjodhpur</v>
      </c>
      <c r="R626" s="3">
        <f t="shared" si="7"/>
        <v>4566</v>
      </c>
    </row>
    <row r="627">
      <c r="A627" s="8" t="s">
        <v>209</v>
      </c>
      <c r="B627" s="8" t="s">
        <v>20</v>
      </c>
      <c r="C627" s="8">
        <v>84800.0</v>
      </c>
      <c r="E627" s="3" t="str">
        <f>IFERROR(__xludf.DUMMYFUNCTION("SPLIT(A627,""|"")"),"Vfs/Google Ads/20221225/Visitjodhpur/3455")</f>
        <v>Vfs/Google Ads/20221225/Visitjodhpur/3455</v>
      </c>
      <c r="F627" s="3" t="str">
        <f>IFERROR(__xludf.DUMMYFUNCTION("SPLIT(E627,""/"")"),"Vfs")</f>
        <v>Vfs</v>
      </c>
      <c r="G627" s="3" t="str">
        <f>IFERROR(__xludf.DUMMYFUNCTION("""COMPUTED_VALUE"""),"Google Ads")</f>
        <v>Google Ads</v>
      </c>
      <c r="H627" s="3">
        <f>IFERROR(__xludf.DUMMYFUNCTION("""COMPUTED_VALUE"""),2.0221225E7)</f>
        <v>20221225</v>
      </c>
      <c r="I627" s="3" t="str">
        <f>IFERROR(__xludf.DUMMYFUNCTION("""COMPUTED_VALUE"""),"Visitjodhpur")</f>
        <v>Visitjodhpur</v>
      </c>
      <c r="J627" s="3">
        <f>IFERROR(__xludf.DUMMYFUNCTION("""COMPUTED_VALUE"""),3455.0)</f>
        <v>3455</v>
      </c>
      <c r="K627" s="3" t="str">
        <f t="shared" ref="K627:L627" si="631">TRIM(F627)</f>
        <v>Vfs</v>
      </c>
      <c r="L627" s="3" t="str">
        <f t="shared" si="631"/>
        <v>Google Ads</v>
      </c>
      <c r="M627" s="3" t="str">
        <f t="shared" si="3"/>
        <v>Google Ads</v>
      </c>
      <c r="N627" s="3" t="str">
        <f>IFERROR(__xludf.DUMMYFUNCTION("SPLIT(M627,""&amp;"")"),"Google Ads")</f>
        <v>Google Ads</v>
      </c>
      <c r="O627" s="3" t="str">
        <f t="shared" si="4"/>
        <v>Google Ads</v>
      </c>
      <c r="P627" s="3" t="str">
        <f t="shared" si="5"/>
        <v>Visitjodhpur</v>
      </c>
      <c r="Q627" s="3" t="str">
        <f t="shared" si="6"/>
        <v>Visitjodhpur</v>
      </c>
      <c r="R627" s="3">
        <f t="shared" si="7"/>
        <v>3455</v>
      </c>
    </row>
    <row r="628">
      <c r="A628" s="8" t="s">
        <v>210</v>
      </c>
      <c r="B628" s="8" t="s">
        <v>20</v>
      </c>
      <c r="C628" s="8">
        <v>86300.0</v>
      </c>
      <c r="E628" s="3" t="str">
        <f>IFERROR(__xludf.DUMMYFUNCTION("SPLIT(A628,""|"")"),"Neft/Twitter/20221228/Visitjodhpur/5666")</f>
        <v>Neft/Twitter/20221228/Visitjodhpur/5666</v>
      </c>
      <c r="F628" s="3" t="str">
        <f>IFERROR(__xludf.DUMMYFUNCTION("SPLIT(E628,""/"")"),"Neft")</f>
        <v>Neft</v>
      </c>
      <c r="G628" s="3" t="str">
        <f>IFERROR(__xludf.DUMMYFUNCTION("""COMPUTED_VALUE"""),"Twitter")</f>
        <v>Twitter</v>
      </c>
      <c r="H628" s="3">
        <f>IFERROR(__xludf.DUMMYFUNCTION("""COMPUTED_VALUE"""),2.0221228E7)</f>
        <v>20221228</v>
      </c>
      <c r="I628" s="3" t="str">
        <f>IFERROR(__xludf.DUMMYFUNCTION("""COMPUTED_VALUE"""),"Visitjodhpur")</f>
        <v>Visitjodhpur</v>
      </c>
      <c r="J628" s="3">
        <f>IFERROR(__xludf.DUMMYFUNCTION("""COMPUTED_VALUE"""),5666.0)</f>
        <v>5666</v>
      </c>
      <c r="K628" s="3" t="str">
        <f t="shared" ref="K628:L628" si="632">TRIM(F628)</f>
        <v>Neft</v>
      </c>
      <c r="L628" s="3" t="str">
        <f t="shared" si="632"/>
        <v>Twitter</v>
      </c>
      <c r="M628" s="3" t="str">
        <f t="shared" si="3"/>
        <v>Twitter</v>
      </c>
      <c r="N628" s="3" t="str">
        <f>IFERROR(__xludf.DUMMYFUNCTION("SPLIT(M628,""&amp;"")"),"Twitter")</f>
        <v>Twitter</v>
      </c>
      <c r="O628" s="3" t="str">
        <f t="shared" si="4"/>
        <v>Twitter</v>
      </c>
      <c r="P628" s="3" t="str">
        <f t="shared" si="5"/>
        <v>Visitjodhpur</v>
      </c>
      <c r="Q628" s="3" t="str">
        <f t="shared" si="6"/>
        <v>Visitjodhpur</v>
      </c>
      <c r="R628" s="3">
        <f t="shared" si="7"/>
        <v>5666</v>
      </c>
    </row>
    <row r="629">
      <c r="A629" s="7" t="s">
        <v>211</v>
      </c>
      <c r="B629" s="8" t="s">
        <v>20</v>
      </c>
      <c r="C629" s="8">
        <v>11900.0</v>
      </c>
      <c r="E629" s="3" t="str">
        <f>IFERROR(__xludf.DUMMYFUNCTION("SPLIT(A629,""|"")"),"Chq/FacEBook/20221201/Visitjaisalmer/5676")</f>
        <v>Chq/FacEBook/20221201/Visitjaisalmer/5676</v>
      </c>
      <c r="F629" s="3" t="str">
        <f>IFERROR(__xludf.DUMMYFUNCTION("SPLIT(E629,""/"")"),"Chq")</f>
        <v>Chq</v>
      </c>
      <c r="G629" s="3" t="str">
        <f>IFERROR(__xludf.DUMMYFUNCTION("""COMPUTED_VALUE"""),"FacEBook")</f>
        <v>FacEBook</v>
      </c>
      <c r="H629" s="3">
        <f>IFERROR(__xludf.DUMMYFUNCTION("""COMPUTED_VALUE"""),2.0221201E7)</f>
        <v>20221201</v>
      </c>
      <c r="I629" s="3" t="str">
        <f>IFERROR(__xludf.DUMMYFUNCTION("""COMPUTED_VALUE"""),"Visitjaisalmer")</f>
        <v>Visitjaisalmer</v>
      </c>
      <c r="J629" s="3">
        <f>IFERROR(__xludf.DUMMYFUNCTION("""COMPUTED_VALUE"""),5676.0)</f>
        <v>5676</v>
      </c>
      <c r="K629" s="3" t="str">
        <f t="shared" ref="K629:L629" si="633">TRIM(F629)</f>
        <v>Chq</v>
      </c>
      <c r="L629" s="3" t="str">
        <f t="shared" si="633"/>
        <v>FacEBook</v>
      </c>
      <c r="M629" s="3" t="str">
        <f t="shared" si="3"/>
        <v>Facebook</v>
      </c>
      <c r="N629" s="3" t="str">
        <f>IFERROR(__xludf.DUMMYFUNCTION("SPLIT(M629,""&amp;"")"),"Facebook")</f>
        <v>Facebook</v>
      </c>
      <c r="O629" s="3" t="str">
        <f t="shared" si="4"/>
        <v>Facebook</v>
      </c>
      <c r="P629" s="3" t="str">
        <f t="shared" si="5"/>
        <v>Visitjaisalmer</v>
      </c>
      <c r="Q629" s="3" t="str">
        <f t="shared" si="6"/>
        <v>Visitjaisalmer</v>
      </c>
      <c r="R629" s="3">
        <f t="shared" si="7"/>
        <v>5676</v>
      </c>
    </row>
    <row r="630">
      <c r="A630" s="8" t="s">
        <v>212</v>
      </c>
      <c r="B630" s="8" t="s">
        <v>20</v>
      </c>
      <c r="C630" s="8">
        <v>93400.0</v>
      </c>
      <c r="E630" s="3" t="str">
        <f>IFERROR(__xludf.DUMMYFUNCTION("SPLIT(A630,""|"")"),"Vfs/Youtube/20221204/Visitjaisalmer/4564")</f>
        <v>Vfs/Youtube/20221204/Visitjaisalmer/4564</v>
      </c>
      <c r="F630" s="3" t="str">
        <f>IFERROR(__xludf.DUMMYFUNCTION("SPLIT(E630,""/"")"),"Vfs")</f>
        <v>Vfs</v>
      </c>
      <c r="G630" s="3" t="str">
        <f>IFERROR(__xludf.DUMMYFUNCTION("""COMPUTED_VALUE"""),"Youtube")</f>
        <v>Youtube</v>
      </c>
      <c r="H630" s="3">
        <f>IFERROR(__xludf.DUMMYFUNCTION("""COMPUTED_VALUE"""),2.0221204E7)</f>
        <v>20221204</v>
      </c>
      <c r="I630" s="3" t="str">
        <f>IFERROR(__xludf.DUMMYFUNCTION("""COMPUTED_VALUE"""),"Visitjaisalmer")</f>
        <v>Visitjaisalmer</v>
      </c>
      <c r="J630" s="3">
        <f>IFERROR(__xludf.DUMMYFUNCTION("""COMPUTED_VALUE"""),4564.0)</f>
        <v>4564</v>
      </c>
      <c r="K630" s="3" t="str">
        <f t="shared" ref="K630:L630" si="634">TRIM(F630)</f>
        <v>Vfs</v>
      </c>
      <c r="L630" s="3" t="str">
        <f t="shared" si="634"/>
        <v>Youtube</v>
      </c>
      <c r="M630" s="3" t="str">
        <f t="shared" si="3"/>
        <v>Youtube</v>
      </c>
      <c r="N630" s="3" t="str">
        <f>IFERROR(__xludf.DUMMYFUNCTION("SPLIT(M630,""&amp;"")"),"Youtube")</f>
        <v>Youtube</v>
      </c>
      <c r="O630" s="3" t="str">
        <f t="shared" si="4"/>
        <v>Youtube</v>
      </c>
      <c r="P630" s="3" t="str">
        <f t="shared" si="5"/>
        <v>Visitjaisalmer</v>
      </c>
      <c r="Q630" s="3" t="str">
        <f t="shared" si="6"/>
        <v>Visitjaisalmer</v>
      </c>
      <c r="R630" s="3">
        <f t="shared" si="7"/>
        <v>4564</v>
      </c>
    </row>
    <row r="631">
      <c r="A631" s="8" t="s">
        <v>213</v>
      </c>
      <c r="B631" s="8" t="s">
        <v>20</v>
      </c>
      <c r="C631" s="8">
        <v>21400.0</v>
      </c>
      <c r="E631" s="3" t="str">
        <f>IFERROR(__xludf.DUMMYFUNCTION("SPLIT(A631,""|"")"),"Vin/Instagram/20221207/Visitjaisalmer/4565")</f>
        <v>Vin/Instagram/20221207/Visitjaisalmer/4565</v>
      </c>
      <c r="F631" s="3" t="str">
        <f>IFERROR(__xludf.DUMMYFUNCTION("SPLIT(E631,""/"")"),"Vin")</f>
        <v>Vin</v>
      </c>
      <c r="G631" s="3" t="str">
        <f>IFERROR(__xludf.DUMMYFUNCTION("""COMPUTED_VALUE"""),"Instagram")</f>
        <v>Instagram</v>
      </c>
      <c r="H631" s="3">
        <f>IFERROR(__xludf.DUMMYFUNCTION("""COMPUTED_VALUE"""),2.0221207E7)</f>
        <v>20221207</v>
      </c>
      <c r="I631" s="3" t="str">
        <f>IFERROR(__xludf.DUMMYFUNCTION("""COMPUTED_VALUE"""),"Visitjaisalmer")</f>
        <v>Visitjaisalmer</v>
      </c>
      <c r="J631" s="3">
        <f>IFERROR(__xludf.DUMMYFUNCTION("""COMPUTED_VALUE"""),4565.0)</f>
        <v>4565</v>
      </c>
      <c r="K631" s="3" t="str">
        <f t="shared" ref="K631:L631" si="635">TRIM(F631)</f>
        <v>Vin</v>
      </c>
      <c r="L631" s="3" t="str">
        <f t="shared" si="635"/>
        <v>Instagram</v>
      </c>
      <c r="M631" s="3" t="str">
        <f t="shared" si="3"/>
        <v>Instagram</v>
      </c>
      <c r="N631" s="3" t="str">
        <f>IFERROR(__xludf.DUMMYFUNCTION("SPLIT(M631,""&amp;"")"),"Instagram")</f>
        <v>Instagram</v>
      </c>
      <c r="O631" s="3" t="str">
        <f t="shared" si="4"/>
        <v>Instagram</v>
      </c>
      <c r="P631" s="3" t="str">
        <f t="shared" si="5"/>
        <v>Visitjaisalmer</v>
      </c>
      <c r="Q631" s="3" t="str">
        <f t="shared" si="6"/>
        <v>Visitjaisalmer</v>
      </c>
      <c r="R631" s="3">
        <f t="shared" si="7"/>
        <v>4565</v>
      </c>
    </row>
    <row r="632">
      <c r="A632" s="8" t="s">
        <v>214</v>
      </c>
      <c r="B632" s="8" t="s">
        <v>20</v>
      </c>
      <c r="C632" s="8">
        <v>39900.0</v>
      </c>
      <c r="E632" s="3" t="str">
        <f>IFERROR(__xludf.DUMMYFUNCTION("SPLIT(A632,""|"")"),"Neft/Offline/20221210/Visitjaisalmer/4566")</f>
        <v>Neft/Offline/20221210/Visitjaisalmer/4566</v>
      </c>
      <c r="F632" s="3" t="str">
        <f>IFERROR(__xludf.DUMMYFUNCTION("SPLIT(E632,""/"")"),"Neft")</f>
        <v>Neft</v>
      </c>
      <c r="G632" s="3" t="str">
        <f>IFERROR(__xludf.DUMMYFUNCTION("""COMPUTED_VALUE"""),"Offline")</f>
        <v>Offline</v>
      </c>
      <c r="H632" s="3">
        <f>IFERROR(__xludf.DUMMYFUNCTION("""COMPUTED_VALUE"""),2.022121E7)</f>
        <v>20221210</v>
      </c>
      <c r="I632" s="3" t="str">
        <f>IFERROR(__xludf.DUMMYFUNCTION("""COMPUTED_VALUE"""),"Visitjaisalmer")</f>
        <v>Visitjaisalmer</v>
      </c>
      <c r="J632" s="3">
        <f>IFERROR(__xludf.DUMMYFUNCTION("""COMPUTED_VALUE"""),4566.0)</f>
        <v>4566</v>
      </c>
      <c r="K632" s="3" t="str">
        <f t="shared" ref="K632:L632" si="636">TRIM(F632)</f>
        <v>Neft</v>
      </c>
      <c r="L632" s="3" t="str">
        <f t="shared" si="636"/>
        <v>Offline</v>
      </c>
      <c r="M632" s="3" t="str">
        <f t="shared" si="3"/>
        <v>Offline</v>
      </c>
      <c r="N632" s="3" t="str">
        <f>IFERROR(__xludf.DUMMYFUNCTION("SPLIT(M632,""&amp;"")"),"Offline")</f>
        <v>Offline</v>
      </c>
      <c r="O632" s="3" t="str">
        <f t="shared" si="4"/>
        <v>Offline</v>
      </c>
      <c r="P632" s="3" t="str">
        <f t="shared" si="5"/>
        <v>Visitjaisalmer</v>
      </c>
      <c r="Q632" s="3" t="str">
        <f t="shared" si="6"/>
        <v>Visitjaisalmer</v>
      </c>
      <c r="R632" s="3">
        <f t="shared" si="7"/>
        <v>4566</v>
      </c>
    </row>
    <row r="633">
      <c r="A633" s="8" t="s">
        <v>215</v>
      </c>
      <c r="B633" s="8" t="s">
        <v>20</v>
      </c>
      <c r="C633" s="8">
        <v>22800.0</v>
      </c>
      <c r="E633" s="3" t="str">
        <f>IFERROR(__xludf.DUMMYFUNCTION("SPLIT(A633,""|"")"),"Chq/Google Ads/20221213/Visitjaisalmer/3455")</f>
        <v>Chq/Google Ads/20221213/Visitjaisalmer/3455</v>
      </c>
      <c r="F633" s="3" t="str">
        <f>IFERROR(__xludf.DUMMYFUNCTION("SPLIT(E633,""/"")"),"Chq")</f>
        <v>Chq</v>
      </c>
      <c r="G633" s="3" t="str">
        <f>IFERROR(__xludf.DUMMYFUNCTION("""COMPUTED_VALUE"""),"Google Ads")</f>
        <v>Google Ads</v>
      </c>
      <c r="H633" s="3">
        <f>IFERROR(__xludf.DUMMYFUNCTION("""COMPUTED_VALUE"""),2.0221213E7)</f>
        <v>20221213</v>
      </c>
      <c r="I633" s="3" t="str">
        <f>IFERROR(__xludf.DUMMYFUNCTION("""COMPUTED_VALUE"""),"Visitjaisalmer")</f>
        <v>Visitjaisalmer</v>
      </c>
      <c r="J633" s="3">
        <f>IFERROR(__xludf.DUMMYFUNCTION("""COMPUTED_VALUE"""),3455.0)</f>
        <v>3455</v>
      </c>
      <c r="K633" s="3" t="str">
        <f t="shared" ref="K633:L633" si="637">TRIM(F633)</f>
        <v>Chq</v>
      </c>
      <c r="L633" s="3" t="str">
        <f t="shared" si="637"/>
        <v>Google Ads</v>
      </c>
      <c r="M633" s="3" t="str">
        <f t="shared" si="3"/>
        <v>Google Ads</v>
      </c>
      <c r="N633" s="3" t="str">
        <f>IFERROR(__xludf.DUMMYFUNCTION("SPLIT(M633,""&amp;"")"),"Google Ads")</f>
        <v>Google Ads</v>
      </c>
      <c r="O633" s="3" t="str">
        <f t="shared" si="4"/>
        <v>Google Ads</v>
      </c>
      <c r="P633" s="3" t="str">
        <f t="shared" si="5"/>
        <v>Visitjaisalmer</v>
      </c>
      <c r="Q633" s="3" t="str">
        <f t="shared" si="6"/>
        <v>Visitjaisalmer</v>
      </c>
      <c r="R633" s="3">
        <f t="shared" si="7"/>
        <v>3455</v>
      </c>
    </row>
    <row r="634">
      <c r="A634" s="7" t="s">
        <v>216</v>
      </c>
      <c r="B634" s="8" t="s">
        <v>20</v>
      </c>
      <c r="C634" s="8">
        <v>66100.0</v>
      </c>
      <c r="E634" s="3" t="str">
        <f>IFERROR(__xludf.DUMMYFUNCTION("SPLIT(A634,""|"")"),"Vfs/Twitter/20221216/VisitjAIsalmer/5666")</f>
        <v>Vfs/Twitter/20221216/VisitjAIsalmer/5666</v>
      </c>
      <c r="F634" s="3" t="str">
        <f>IFERROR(__xludf.DUMMYFUNCTION("SPLIT(E634,""/"")"),"Vfs")</f>
        <v>Vfs</v>
      </c>
      <c r="G634" s="3" t="str">
        <f>IFERROR(__xludf.DUMMYFUNCTION("""COMPUTED_VALUE"""),"Twitter")</f>
        <v>Twitter</v>
      </c>
      <c r="H634" s="3">
        <f>IFERROR(__xludf.DUMMYFUNCTION("""COMPUTED_VALUE"""),2.0221216E7)</f>
        <v>20221216</v>
      </c>
      <c r="I634" s="3" t="str">
        <f>IFERROR(__xludf.DUMMYFUNCTION("""COMPUTED_VALUE"""),"VisitjAIsalmer")</f>
        <v>VisitjAIsalmer</v>
      </c>
      <c r="J634" s="3">
        <f>IFERROR(__xludf.DUMMYFUNCTION("""COMPUTED_VALUE"""),5666.0)</f>
        <v>5666</v>
      </c>
      <c r="K634" s="3" t="str">
        <f t="shared" ref="K634:L634" si="638">TRIM(F634)</f>
        <v>Vfs</v>
      </c>
      <c r="L634" s="3" t="str">
        <f t="shared" si="638"/>
        <v>Twitter</v>
      </c>
      <c r="M634" s="3" t="str">
        <f t="shared" si="3"/>
        <v>Twitter</v>
      </c>
      <c r="N634" s="3" t="str">
        <f>IFERROR(__xludf.DUMMYFUNCTION("SPLIT(M634,""&amp;"")"),"Twitter")</f>
        <v>Twitter</v>
      </c>
      <c r="O634" s="3" t="str">
        <f t="shared" si="4"/>
        <v>Twitter</v>
      </c>
      <c r="P634" s="3" t="str">
        <f t="shared" si="5"/>
        <v>VisitjAIsalmer</v>
      </c>
      <c r="Q634" s="3" t="str">
        <f t="shared" si="6"/>
        <v>Visitjaisalmer</v>
      </c>
      <c r="R634" s="3">
        <f t="shared" si="7"/>
        <v>5666</v>
      </c>
    </row>
    <row r="635">
      <c r="A635" s="8" t="s">
        <v>217</v>
      </c>
      <c r="B635" s="8" t="s">
        <v>20</v>
      </c>
      <c r="C635" s="8">
        <v>81400.0</v>
      </c>
      <c r="E635" s="3" t="str">
        <f>IFERROR(__xludf.DUMMYFUNCTION("SPLIT(A635,""|"")"),"Vin/Facebook/20221219/Visitbikaner/5676")</f>
        <v>Vin/Facebook/20221219/Visitbikaner/5676</v>
      </c>
      <c r="F635" s="3" t="str">
        <f>IFERROR(__xludf.DUMMYFUNCTION("SPLIT(E635,""/"")"),"Vin")</f>
        <v>Vin</v>
      </c>
      <c r="G635" s="3" t="str">
        <f>IFERROR(__xludf.DUMMYFUNCTION("""COMPUTED_VALUE"""),"Facebook")</f>
        <v>Facebook</v>
      </c>
      <c r="H635" s="3">
        <f>IFERROR(__xludf.DUMMYFUNCTION("""COMPUTED_VALUE"""),2.0221219E7)</f>
        <v>20221219</v>
      </c>
      <c r="I635" s="3" t="str">
        <f>IFERROR(__xludf.DUMMYFUNCTION("""COMPUTED_VALUE"""),"Visitbikaner")</f>
        <v>Visitbikaner</v>
      </c>
      <c r="J635" s="3">
        <f>IFERROR(__xludf.DUMMYFUNCTION("""COMPUTED_VALUE"""),5676.0)</f>
        <v>5676</v>
      </c>
      <c r="K635" s="3" t="str">
        <f t="shared" ref="K635:L635" si="639">TRIM(F635)</f>
        <v>Vin</v>
      </c>
      <c r="L635" s="3" t="str">
        <f t="shared" si="639"/>
        <v>Facebook</v>
      </c>
      <c r="M635" s="3" t="str">
        <f t="shared" si="3"/>
        <v>Facebook</v>
      </c>
      <c r="N635" s="3" t="str">
        <f>IFERROR(__xludf.DUMMYFUNCTION("SPLIT(M635,""&amp;"")"),"Facebook")</f>
        <v>Facebook</v>
      </c>
      <c r="O635" s="3" t="str">
        <f t="shared" si="4"/>
        <v>Facebook</v>
      </c>
      <c r="P635" s="3" t="str">
        <f t="shared" si="5"/>
        <v>Visitbikaner</v>
      </c>
      <c r="Q635" s="3" t="str">
        <f t="shared" si="6"/>
        <v>Visitbikaner</v>
      </c>
      <c r="R635" s="3">
        <f t="shared" si="7"/>
        <v>5676</v>
      </c>
    </row>
    <row r="636">
      <c r="A636" s="8" t="s">
        <v>218</v>
      </c>
      <c r="B636" s="8" t="s">
        <v>20</v>
      </c>
      <c r="C636" s="8">
        <v>85400.0</v>
      </c>
      <c r="E636" s="3" t="str">
        <f>IFERROR(__xludf.DUMMYFUNCTION("SPLIT(A636,""|"")"),"Chq/Youtube/20221222/Visitbikaner/4564")</f>
        <v>Chq/Youtube/20221222/Visitbikaner/4564</v>
      </c>
      <c r="F636" s="3" t="str">
        <f>IFERROR(__xludf.DUMMYFUNCTION("SPLIT(E636,""/"")"),"Chq")</f>
        <v>Chq</v>
      </c>
      <c r="G636" s="3" t="str">
        <f>IFERROR(__xludf.DUMMYFUNCTION("""COMPUTED_VALUE"""),"Youtube")</f>
        <v>Youtube</v>
      </c>
      <c r="H636" s="3">
        <f>IFERROR(__xludf.DUMMYFUNCTION("""COMPUTED_VALUE"""),2.0221222E7)</f>
        <v>20221222</v>
      </c>
      <c r="I636" s="3" t="str">
        <f>IFERROR(__xludf.DUMMYFUNCTION("""COMPUTED_VALUE"""),"Visitbikaner")</f>
        <v>Visitbikaner</v>
      </c>
      <c r="J636" s="3">
        <f>IFERROR(__xludf.DUMMYFUNCTION("""COMPUTED_VALUE"""),4564.0)</f>
        <v>4564</v>
      </c>
      <c r="K636" s="3" t="str">
        <f t="shared" ref="K636:L636" si="640">TRIM(F636)</f>
        <v>Chq</v>
      </c>
      <c r="L636" s="3" t="str">
        <f t="shared" si="640"/>
        <v>Youtube</v>
      </c>
      <c r="M636" s="3" t="str">
        <f t="shared" si="3"/>
        <v>Youtube</v>
      </c>
      <c r="N636" s="3" t="str">
        <f>IFERROR(__xludf.DUMMYFUNCTION("SPLIT(M636,""&amp;"")"),"Youtube")</f>
        <v>Youtube</v>
      </c>
      <c r="O636" s="3" t="str">
        <f t="shared" si="4"/>
        <v>Youtube</v>
      </c>
      <c r="P636" s="3" t="str">
        <f t="shared" si="5"/>
        <v>Visitbikaner</v>
      </c>
      <c r="Q636" s="3" t="str">
        <f t="shared" si="6"/>
        <v>Visitbikaner</v>
      </c>
      <c r="R636" s="3">
        <f t="shared" si="7"/>
        <v>4564</v>
      </c>
    </row>
    <row r="637">
      <c r="A637" s="8" t="s">
        <v>219</v>
      </c>
      <c r="B637" s="8" t="s">
        <v>20</v>
      </c>
      <c r="C637" s="8">
        <v>86000.0</v>
      </c>
      <c r="E637" s="3" t="str">
        <f>IFERROR(__xludf.DUMMYFUNCTION("SPLIT(A637,""|"")"),"Vfs/Instagram/20221225/Visitbikaner/4565")</f>
        <v>Vfs/Instagram/20221225/Visitbikaner/4565</v>
      </c>
      <c r="F637" s="3" t="str">
        <f>IFERROR(__xludf.DUMMYFUNCTION("SPLIT(E637,""/"")"),"Vfs")</f>
        <v>Vfs</v>
      </c>
      <c r="G637" s="3" t="str">
        <f>IFERROR(__xludf.DUMMYFUNCTION("""COMPUTED_VALUE"""),"Instagram")</f>
        <v>Instagram</v>
      </c>
      <c r="H637" s="3">
        <f>IFERROR(__xludf.DUMMYFUNCTION("""COMPUTED_VALUE"""),2.0221225E7)</f>
        <v>20221225</v>
      </c>
      <c r="I637" s="3" t="str">
        <f>IFERROR(__xludf.DUMMYFUNCTION("""COMPUTED_VALUE"""),"Visitbikaner")</f>
        <v>Visitbikaner</v>
      </c>
      <c r="J637" s="3">
        <f>IFERROR(__xludf.DUMMYFUNCTION("""COMPUTED_VALUE"""),4565.0)</f>
        <v>4565</v>
      </c>
      <c r="K637" s="3" t="str">
        <f t="shared" ref="K637:L637" si="641">TRIM(F637)</f>
        <v>Vfs</v>
      </c>
      <c r="L637" s="3" t="str">
        <f t="shared" si="641"/>
        <v>Instagram</v>
      </c>
      <c r="M637" s="3" t="str">
        <f t="shared" si="3"/>
        <v>Instagram</v>
      </c>
      <c r="N637" s="3" t="str">
        <f>IFERROR(__xludf.DUMMYFUNCTION("SPLIT(M637,""&amp;"")"),"Instagram")</f>
        <v>Instagram</v>
      </c>
      <c r="O637" s="3" t="str">
        <f t="shared" si="4"/>
        <v>Instagram</v>
      </c>
      <c r="P637" s="3" t="str">
        <f t="shared" si="5"/>
        <v>Visitbikaner</v>
      </c>
      <c r="Q637" s="3" t="str">
        <f t="shared" si="6"/>
        <v>Visitbikaner</v>
      </c>
      <c r="R637" s="3">
        <f t="shared" si="7"/>
        <v>4565</v>
      </c>
    </row>
    <row r="638">
      <c r="A638" s="8" t="s">
        <v>220</v>
      </c>
      <c r="B638" s="8" t="s">
        <v>20</v>
      </c>
      <c r="C638" s="8">
        <v>60000.0</v>
      </c>
      <c r="E638" s="3" t="str">
        <f>IFERROR(__xludf.DUMMYFUNCTION("SPLIT(A638,""|"")"),"Neft/Offline/20221228/Visitbikaner/4566")</f>
        <v>Neft/Offline/20221228/Visitbikaner/4566</v>
      </c>
      <c r="F638" s="3" t="str">
        <f>IFERROR(__xludf.DUMMYFUNCTION("SPLIT(E638,""/"")"),"Neft")</f>
        <v>Neft</v>
      </c>
      <c r="G638" s="3" t="str">
        <f>IFERROR(__xludf.DUMMYFUNCTION("""COMPUTED_VALUE"""),"Offline")</f>
        <v>Offline</v>
      </c>
      <c r="H638" s="3">
        <f>IFERROR(__xludf.DUMMYFUNCTION("""COMPUTED_VALUE"""),2.0221228E7)</f>
        <v>20221228</v>
      </c>
      <c r="I638" s="3" t="str">
        <f>IFERROR(__xludf.DUMMYFUNCTION("""COMPUTED_VALUE"""),"Visitbikaner")</f>
        <v>Visitbikaner</v>
      </c>
      <c r="J638" s="3">
        <f>IFERROR(__xludf.DUMMYFUNCTION("""COMPUTED_VALUE"""),4566.0)</f>
        <v>4566</v>
      </c>
      <c r="K638" s="3" t="str">
        <f t="shared" ref="K638:L638" si="642">TRIM(F638)</f>
        <v>Neft</v>
      </c>
      <c r="L638" s="3" t="str">
        <f t="shared" si="642"/>
        <v>Offline</v>
      </c>
      <c r="M638" s="3" t="str">
        <f t="shared" si="3"/>
        <v>Offline</v>
      </c>
      <c r="N638" s="3" t="str">
        <f>IFERROR(__xludf.DUMMYFUNCTION("SPLIT(M638,""&amp;"")"),"Offline")</f>
        <v>Offline</v>
      </c>
      <c r="O638" s="3" t="str">
        <f t="shared" si="4"/>
        <v>Offline</v>
      </c>
      <c r="P638" s="3" t="str">
        <f t="shared" si="5"/>
        <v>Visitbikaner</v>
      </c>
      <c r="Q638" s="3" t="str">
        <f t="shared" si="6"/>
        <v>Visitbikaner</v>
      </c>
      <c r="R638" s="3">
        <f t="shared" si="7"/>
        <v>4566</v>
      </c>
    </row>
    <row r="639">
      <c r="A639" s="8" t="s">
        <v>221</v>
      </c>
      <c r="B639" s="8" t="s">
        <v>20</v>
      </c>
      <c r="C639" s="8">
        <v>69800.0</v>
      </c>
      <c r="E639" s="3" t="str">
        <f>IFERROR(__xludf.DUMMYFUNCTION("SPLIT(A639,""|"")"),"Chq/Google Ads/20221201/Visitbikaner/3455")</f>
        <v>Chq/Google Ads/20221201/Visitbikaner/3455</v>
      </c>
      <c r="F639" s="3" t="str">
        <f>IFERROR(__xludf.DUMMYFUNCTION("SPLIT(E639,""/"")"),"Chq")</f>
        <v>Chq</v>
      </c>
      <c r="G639" s="3" t="str">
        <f>IFERROR(__xludf.DUMMYFUNCTION("""COMPUTED_VALUE"""),"Google Ads")</f>
        <v>Google Ads</v>
      </c>
      <c r="H639" s="3">
        <f>IFERROR(__xludf.DUMMYFUNCTION("""COMPUTED_VALUE"""),2.0221201E7)</f>
        <v>20221201</v>
      </c>
      <c r="I639" s="3" t="str">
        <f>IFERROR(__xludf.DUMMYFUNCTION("""COMPUTED_VALUE"""),"Visitbikaner")</f>
        <v>Visitbikaner</v>
      </c>
      <c r="J639" s="3">
        <f>IFERROR(__xludf.DUMMYFUNCTION("""COMPUTED_VALUE"""),3455.0)</f>
        <v>3455</v>
      </c>
      <c r="K639" s="3" t="str">
        <f t="shared" ref="K639:L639" si="643">TRIM(F639)</f>
        <v>Chq</v>
      </c>
      <c r="L639" s="3" t="str">
        <f t="shared" si="643"/>
        <v>Google Ads</v>
      </c>
      <c r="M639" s="3" t="str">
        <f t="shared" si="3"/>
        <v>Google Ads</v>
      </c>
      <c r="N639" s="3" t="str">
        <f>IFERROR(__xludf.DUMMYFUNCTION("SPLIT(M639,""&amp;"")"),"Google Ads")</f>
        <v>Google Ads</v>
      </c>
      <c r="O639" s="3" t="str">
        <f t="shared" si="4"/>
        <v>Google Ads</v>
      </c>
      <c r="P639" s="3" t="str">
        <f t="shared" si="5"/>
        <v>Visitbikaner</v>
      </c>
      <c r="Q639" s="3" t="str">
        <f t="shared" si="6"/>
        <v>Visitbikaner</v>
      </c>
      <c r="R639" s="3">
        <f t="shared" si="7"/>
        <v>3455</v>
      </c>
    </row>
    <row r="640">
      <c r="A640" s="8" t="s">
        <v>222</v>
      </c>
      <c r="B640" s="8" t="s">
        <v>20</v>
      </c>
      <c r="C640" s="8">
        <v>20200.0</v>
      </c>
      <c r="E640" s="3" t="str">
        <f>IFERROR(__xludf.DUMMYFUNCTION("SPLIT(A640,""|"")"),"Vfs/Twitter/20221204/Visitbikaner/5666")</f>
        <v>Vfs/Twitter/20221204/Visitbikaner/5666</v>
      </c>
      <c r="F640" s="3" t="str">
        <f>IFERROR(__xludf.DUMMYFUNCTION("SPLIT(E640,""/"")"),"Vfs")</f>
        <v>Vfs</v>
      </c>
      <c r="G640" s="3" t="str">
        <f>IFERROR(__xludf.DUMMYFUNCTION("""COMPUTED_VALUE"""),"Twitter")</f>
        <v>Twitter</v>
      </c>
      <c r="H640" s="3">
        <f>IFERROR(__xludf.DUMMYFUNCTION("""COMPUTED_VALUE"""),2.0221204E7)</f>
        <v>20221204</v>
      </c>
      <c r="I640" s="3" t="str">
        <f>IFERROR(__xludf.DUMMYFUNCTION("""COMPUTED_VALUE"""),"Visitbikaner")</f>
        <v>Visitbikaner</v>
      </c>
      <c r="J640" s="3">
        <f>IFERROR(__xludf.DUMMYFUNCTION("""COMPUTED_VALUE"""),5666.0)</f>
        <v>5666</v>
      </c>
      <c r="K640" s="3" t="str">
        <f t="shared" ref="K640:L640" si="644">TRIM(F640)</f>
        <v>Vfs</v>
      </c>
      <c r="L640" s="3" t="str">
        <f t="shared" si="644"/>
        <v>Twitter</v>
      </c>
      <c r="M640" s="3" t="str">
        <f t="shared" si="3"/>
        <v>Twitter</v>
      </c>
      <c r="N640" s="3" t="str">
        <f>IFERROR(__xludf.DUMMYFUNCTION("SPLIT(M640,""&amp;"")"),"Twitter")</f>
        <v>Twitter</v>
      </c>
      <c r="O640" s="3" t="str">
        <f t="shared" si="4"/>
        <v>Twitter</v>
      </c>
      <c r="P640" s="3" t="str">
        <f t="shared" si="5"/>
        <v>Visitbikaner</v>
      </c>
      <c r="Q640" s="3" t="str">
        <f t="shared" si="6"/>
        <v>Visitbikaner</v>
      </c>
      <c r="R640" s="3">
        <f t="shared" si="7"/>
        <v>5666</v>
      </c>
    </row>
    <row r="641">
      <c r="A641" s="7" t="s">
        <v>223</v>
      </c>
      <c r="B641" s="8" t="s">
        <v>19</v>
      </c>
      <c r="C641" s="8">
        <v>84100.0</v>
      </c>
      <c r="E641" s="3" t="str">
        <f>IFERROR(__xludf.DUMMYFUNCTION("SPLIT(A641,""|"")"),"Vfs/Twitter/20221104/Visitbikaner/5666")</f>
        <v>Vfs/Twitter/20221104/Visitbikaner/5666</v>
      </c>
      <c r="F641" s="3" t="str">
        <f>IFERROR(__xludf.DUMMYFUNCTION("SPLIT(E641,""/"")"),"Vfs")</f>
        <v>Vfs</v>
      </c>
      <c r="G641" s="3" t="str">
        <f>IFERROR(__xludf.DUMMYFUNCTION("""COMPUTED_VALUE"""),"Twitter")</f>
        <v>Twitter</v>
      </c>
      <c r="H641" s="3">
        <f>IFERROR(__xludf.DUMMYFUNCTION("""COMPUTED_VALUE"""),2.0221104E7)</f>
        <v>20221104</v>
      </c>
      <c r="I641" s="3" t="str">
        <f>IFERROR(__xludf.DUMMYFUNCTION("""COMPUTED_VALUE"""),"Visitbikaner")</f>
        <v>Visitbikaner</v>
      </c>
      <c r="J641" s="3">
        <f>IFERROR(__xludf.DUMMYFUNCTION("""COMPUTED_VALUE"""),5666.0)</f>
        <v>5666</v>
      </c>
      <c r="K641" s="3" t="str">
        <f t="shared" ref="K641:L641" si="645">TRIM(F641)</f>
        <v>Vfs</v>
      </c>
      <c r="L641" s="3" t="str">
        <f t="shared" si="645"/>
        <v>Twitter</v>
      </c>
      <c r="M641" s="3" t="str">
        <f t="shared" si="3"/>
        <v>Twitter</v>
      </c>
      <c r="N641" s="3" t="str">
        <f>IFERROR(__xludf.DUMMYFUNCTION("SPLIT(M641,""&amp;"")"),"Twitter")</f>
        <v>Twitter</v>
      </c>
      <c r="O641" s="3" t="str">
        <f t="shared" si="4"/>
        <v>Twitter</v>
      </c>
      <c r="P641" s="3" t="str">
        <f t="shared" si="5"/>
        <v>Visitbikaner</v>
      </c>
      <c r="Q641" s="3" t="str">
        <f t="shared" si="6"/>
        <v>Visitbikaner</v>
      </c>
      <c r="R641" s="3">
        <f t="shared" si="7"/>
        <v>5666</v>
      </c>
    </row>
    <row r="642">
      <c r="A642" s="7" t="s">
        <v>224</v>
      </c>
      <c r="B642" s="8" t="s">
        <v>19</v>
      </c>
      <c r="C642" s="7">
        <v>54100.0</v>
      </c>
      <c r="E642" s="3" t="str">
        <f>IFERROR(__xludf.DUMMYFUNCTION("SPLIT(A642,""|"")"),"Vfs/Facebook/20221104/Visitrajasthan/5666")</f>
        <v>Vfs/Facebook/20221104/Visitrajasthan/5666</v>
      </c>
      <c r="F642" s="3" t="str">
        <f>IFERROR(__xludf.DUMMYFUNCTION("SPLIT(E642,""/"")"),"Vfs")</f>
        <v>Vfs</v>
      </c>
      <c r="G642" s="3" t="str">
        <f>IFERROR(__xludf.DUMMYFUNCTION("""COMPUTED_VALUE"""),"Facebook")</f>
        <v>Facebook</v>
      </c>
      <c r="H642" s="3">
        <f>IFERROR(__xludf.DUMMYFUNCTION("""COMPUTED_VALUE"""),2.0221104E7)</f>
        <v>20221104</v>
      </c>
      <c r="I642" s="3" t="str">
        <f>IFERROR(__xludf.DUMMYFUNCTION("""COMPUTED_VALUE"""),"Visitrajasthan")</f>
        <v>Visitrajasthan</v>
      </c>
      <c r="J642" s="3">
        <f>IFERROR(__xludf.DUMMYFUNCTION("""COMPUTED_VALUE"""),5666.0)</f>
        <v>5666</v>
      </c>
      <c r="K642" s="3" t="str">
        <f t="shared" ref="K642:L642" si="646">TRIM(F642)</f>
        <v>Vfs</v>
      </c>
      <c r="L642" s="3" t="str">
        <f t="shared" si="646"/>
        <v>Facebook</v>
      </c>
      <c r="M642" s="3" t="str">
        <f t="shared" si="3"/>
        <v>Facebook</v>
      </c>
      <c r="N642" s="3" t="str">
        <f>IFERROR(__xludf.DUMMYFUNCTION("SPLIT(M642,""&amp;"")"),"Facebook")</f>
        <v>Facebook</v>
      </c>
      <c r="O642" s="3" t="str">
        <f t="shared" si="4"/>
        <v>Facebook</v>
      </c>
      <c r="P642" s="3" t="str">
        <f t="shared" si="5"/>
        <v>Visitrajasthan</v>
      </c>
      <c r="Q642" s="3" t="str">
        <f t="shared" si="6"/>
        <v>Visitrajasthan</v>
      </c>
      <c r="R642" s="3">
        <f t="shared" si="7"/>
        <v>5666</v>
      </c>
    </row>
    <row r="643">
      <c r="A643" s="7" t="s">
        <v>225</v>
      </c>
      <c r="B643" s="8" t="s">
        <v>19</v>
      </c>
      <c r="C643" s="7">
        <v>57500.0</v>
      </c>
      <c r="E643" s="3" t="str">
        <f>IFERROR(__xludf.DUMMYFUNCTION("SPLIT(A643,""|"")"),"Vfs/Instagram/20221104/Visitrajasthan/5666")</f>
        <v>Vfs/Instagram/20221104/Visitrajasthan/5666</v>
      </c>
      <c r="F643" s="3" t="str">
        <f>IFERROR(__xludf.DUMMYFUNCTION("SPLIT(E643,""/"")"),"Vfs")</f>
        <v>Vfs</v>
      </c>
      <c r="G643" s="3" t="str">
        <f>IFERROR(__xludf.DUMMYFUNCTION("""COMPUTED_VALUE"""),"Instagram")</f>
        <v>Instagram</v>
      </c>
      <c r="H643" s="3">
        <f>IFERROR(__xludf.DUMMYFUNCTION("""COMPUTED_VALUE"""),2.0221104E7)</f>
        <v>20221104</v>
      </c>
      <c r="I643" s="3" t="str">
        <f>IFERROR(__xludf.DUMMYFUNCTION("""COMPUTED_VALUE"""),"Visitrajasthan")</f>
        <v>Visitrajasthan</v>
      </c>
      <c r="J643" s="3">
        <f>IFERROR(__xludf.DUMMYFUNCTION("""COMPUTED_VALUE"""),5666.0)</f>
        <v>5666</v>
      </c>
      <c r="K643" s="3" t="str">
        <f t="shared" ref="K643:L643" si="647">TRIM(F643)</f>
        <v>Vfs</v>
      </c>
      <c r="L643" s="3" t="str">
        <f t="shared" si="647"/>
        <v>Instagram</v>
      </c>
      <c r="M643" s="3" t="str">
        <f t="shared" si="3"/>
        <v>Instagram</v>
      </c>
      <c r="N643" s="3" t="str">
        <f>IFERROR(__xludf.DUMMYFUNCTION("SPLIT(M643,""&amp;"")"),"Instagram")</f>
        <v>Instagram</v>
      </c>
      <c r="O643" s="3" t="str">
        <f t="shared" si="4"/>
        <v>Instagram</v>
      </c>
      <c r="P643" s="3" t="str">
        <f t="shared" si="5"/>
        <v>Visitrajasthan</v>
      </c>
      <c r="Q643" s="3" t="str">
        <f t="shared" si="6"/>
        <v>Visitrajasthan</v>
      </c>
      <c r="R643" s="3">
        <f t="shared" si="7"/>
        <v>5666</v>
      </c>
    </row>
    <row r="644">
      <c r="A644" s="7" t="s">
        <v>226</v>
      </c>
      <c r="B644" s="8" t="s">
        <v>19</v>
      </c>
      <c r="C644" s="7">
        <v>75400.0</v>
      </c>
      <c r="E644" s="3" t="str">
        <f>IFERROR(__xludf.DUMMYFUNCTION("SPLIT(A644,""|"")"),"Vfs/Offline/20221104/Visitrajasthan/5666")</f>
        <v>Vfs/Offline/20221104/Visitrajasthan/5666</v>
      </c>
      <c r="F644" s="3" t="str">
        <f>IFERROR(__xludf.DUMMYFUNCTION("SPLIT(E644,""/"")"),"Vfs")</f>
        <v>Vfs</v>
      </c>
      <c r="G644" s="3" t="str">
        <f>IFERROR(__xludf.DUMMYFUNCTION("""COMPUTED_VALUE"""),"Offline")</f>
        <v>Offline</v>
      </c>
      <c r="H644" s="3">
        <f>IFERROR(__xludf.DUMMYFUNCTION("""COMPUTED_VALUE"""),2.0221104E7)</f>
        <v>20221104</v>
      </c>
      <c r="I644" s="3" t="str">
        <f>IFERROR(__xludf.DUMMYFUNCTION("""COMPUTED_VALUE"""),"Visitrajasthan")</f>
        <v>Visitrajasthan</v>
      </c>
      <c r="J644" s="3">
        <f>IFERROR(__xludf.DUMMYFUNCTION("""COMPUTED_VALUE"""),5666.0)</f>
        <v>5666</v>
      </c>
      <c r="K644" s="3" t="str">
        <f t="shared" ref="K644:L644" si="648">TRIM(F644)</f>
        <v>Vfs</v>
      </c>
      <c r="L644" s="3" t="str">
        <f t="shared" si="648"/>
        <v>Offline</v>
      </c>
      <c r="M644" s="3" t="str">
        <f t="shared" si="3"/>
        <v>Offline</v>
      </c>
      <c r="N644" s="3" t="str">
        <f>IFERROR(__xludf.DUMMYFUNCTION("SPLIT(M644,""&amp;"")"),"Offline")</f>
        <v>Offline</v>
      </c>
      <c r="O644" s="3" t="str">
        <f t="shared" si="4"/>
        <v>Offline</v>
      </c>
      <c r="P644" s="3" t="str">
        <f t="shared" si="5"/>
        <v>Visitrajasthan</v>
      </c>
      <c r="Q644" s="3" t="str">
        <f t="shared" si="6"/>
        <v>Visitrajasthan</v>
      </c>
      <c r="R644" s="3">
        <f t="shared" si="7"/>
        <v>5666</v>
      </c>
    </row>
    <row r="645">
      <c r="A645" s="7" t="s">
        <v>227</v>
      </c>
      <c r="B645" s="8" t="s">
        <v>19</v>
      </c>
      <c r="C645" s="7">
        <v>95400.0</v>
      </c>
      <c r="E645" s="3" t="str">
        <f>IFERROR(__xludf.DUMMYFUNCTION("SPLIT(A645,""|"")")," Vfs/Youtube/20221104/Visitjodhpur/5666 ")</f>
        <v> Vfs/Youtube/20221104/Visitjodhpur/5666 </v>
      </c>
      <c r="F645" s="3" t="str">
        <f>IFERROR(__xludf.DUMMYFUNCTION("SPLIT(E645,""/"")")," Vfs")</f>
        <v> Vfs</v>
      </c>
      <c r="G645" s="3" t="str">
        <f>IFERROR(__xludf.DUMMYFUNCTION("""COMPUTED_VALUE"""),"Youtube")</f>
        <v>Youtube</v>
      </c>
      <c r="H645" s="3">
        <f>IFERROR(__xludf.DUMMYFUNCTION("""COMPUTED_VALUE"""),2.0221104E7)</f>
        <v>20221104</v>
      </c>
      <c r="I645" s="3" t="str">
        <f>IFERROR(__xludf.DUMMYFUNCTION("""COMPUTED_VALUE"""),"Visitjodhpur")</f>
        <v>Visitjodhpur</v>
      </c>
      <c r="J645" s="3">
        <f>IFERROR(__xludf.DUMMYFUNCTION("""COMPUTED_VALUE"""),5666.0)</f>
        <v>5666</v>
      </c>
      <c r="K645" s="3" t="str">
        <f t="shared" ref="K645:L645" si="649">TRIM(F645)</f>
        <v>Vfs</v>
      </c>
      <c r="L645" s="3" t="str">
        <f t="shared" si="649"/>
        <v>Youtube</v>
      </c>
      <c r="M645" s="3" t="str">
        <f t="shared" si="3"/>
        <v>Youtube</v>
      </c>
      <c r="N645" s="3" t="str">
        <f>IFERROR(__xludf.DUMMYFUNCTION("SPLIT(M645,""&amp;"")"),"Youtube")</f>
        <v>Youtube</v>
      </c>
      <c r="O645" s="3" t="str">
        <f t="shared" si="4"/>
        <v>Youtube</v>
      </c>
      <c r="P645" s="3" t="str">
        <f t="shared" si="5"/>
        <v>Visitjodhpur</v>
      </c>
      <c r="Q645" s="3" t="str">
        <f t="shared" si="6"/>
        <v>Visitjodhpur</v>
      </c>
      <c r="R645" s="3">
        <f t="shared" si="7"/>
        <v>5666</v>
      </c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  <row r="1001">
      <c r="A1001" s="11"/>
      <c r="B1001" s="11"/>
      <c r="C1001" s="11"/>
    </row>
    <row r="1002">
      <c r="A1002" s="11"/>
      <c r="B1002" s="11"/>
      <c r="C1002" s="11"/>
    </row>
    <row r="1003">
      <c r="A1003" s="11"/>
      <c r="B1003" s="11"/>
      <c r="C1003" s="11"/>
    </row>
  </sheetData>
  <mergeCells count="1">
    <mergeCell ref="F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228</v>
      </c>
    </row>
    <row r="2">
      <c r="A2" s="13" t="s">
        <v>2</v>
      </c>
      <c r="B2" s="13" t="s">
        <v>7</v>
      </c>
      <c r="C2" s="14" t="s">
        <v>14</v>
      </c>
      <c r="D2" s="14" t="s">
        <v>15</v>
      </c>
      <c r="E2" s="14" t="s">
        <v>16</v>
      </c>
      <c r="F2" s="14" t="s">
        <v>17</v>
      </c>
      <c r="G2" s="14" t="s">
        <v>18</v>
      </c>
    </row>
    <row r="3">
      <c r="A3" s="3" t="str">
        <f>IFERROR(__xludf.DUMMYFUNCTION("UNIQUE(Budget!C2:C109)"),"Facebook")</f>
        <v>Facebook</v>
      </c>
      <c r="B3" s="3">
        <f>SUMIFS(Budget!$F$2:$F$109,Budget!$C$2:$C$109,$A3,Budget!$B$2:$B$109,B$2)</f>
        <v>451000</v>
      </c>
      <c r="C3" s="3">
        <f>SUMIFS(Budget!$F$2:$F$109,Budget!$C$2:$C$109,$A3,Budget!$B$2:$B$109,C$2)</f>
        <v>-16300</v>
      </c>
      <c r="D3" s="3">
        <f>SUMIFS(Budget!$F$2:$F$109,Budget!$C$2:$C$109,$A3,Budget!$B$2:$B$109,D$2)</f>
        <v>500</v>
      </c>
      <c r="E3" s="3">
        <f>SUMIFS(Budget!$F$2:$F$109,Budget!$C$2:$C$109,$A3,Budget!$B$2:$B$109,E$2)</f>
        <v>63600</v>
      </c>
      <c r="F3" s="3">
        <f>SUMIFS(Budget!$F$2:$F$109,Budget!$C$2:$C$109,$A3,Budget!$B$2:$B$109,F$2)</f>
        <v>21300</v>
      </c>
      <c r="G3" s="3">
        <f>SUMIFS(Budget!$F$2:$F$109,Budget!$C$2:$C$109,$A3,Budget!$B$2:$B$109,G$2)</f>
        <v>-26300</v>
      </c>
    </row>
    <row r="4">
      <c r="A4" s="3" t="str">
        <f>IFERROR(__xludf.DUMMYFUNCTION("""COMPUTED_VALUE"""),"Youtube")</f>
        <v>Youtube</v>
      </c>
      <c r="B4" s="3">
        <f>SUMIFS(Budget!$F$2:$F$109,Budget!$C$2:$C$109,$A4,Budget!$B$2:$B$109,B$2)</f>
        <v>-58200</v>
      </c>
      <c r="C4" s="3">
        <f>SUMIFS(Budget!$F$2:$F$109,Budget!$C$2:$C$109,$A4,Budget!$B$2:$B$109,C$2)</f>
        <v>201000</v>
      </c>
      <c r="D4" s="3">
        <f>SUMIFS(Budget!$F$2:$F$109,Budget!$C$2:$C$109,$A4,Budget!$B$2:$B$109,D$2)</f>
        <v>36300</v>
      </c>
      <c r="E4" s="3">
        <f>SUMIFS(Budget!$F$2:$F$109,Budget!$C$2:$C$109,$A4,Budget!$B$2:$B$109,E$2)</f>
        <v>-77900</v>
      </c>
      <c r="F4" s="3">
        <f>SUMIFS(Budget!$F$2:$F$109,Budget!$C$2:$C$109,$A4,Budget!$B$2:$B$109,F$2)</f>
        <v>77500</v>
      </c>
      <c r="G4" s="3">
        <f>SUMIFS(Budget!$F$2:$F$109,Budget!$C$2:$C$109,$A4,Budget!$B$2:$B$109,G$2)</f>
        <v>-17500</v>
      </c>
    </row>
    <row r="5">
      <c r="A5" s="3" t="str">
        <f>IFERROR(__xludf.DUMMYFUNCTION("""COMPUTED_VALUE"""),"Instagram")</f>
        <v>Instagram</v>
      </c>
      <c r="B5" s="3">
        <f>SUMIFS(Budget!$F$2:$F$109,Budget!$C$2:$C$109,$A5,Budget!$B$2:$B$109,B$2)</f>
        <v>-46800</v>
      </c>
      <c r="C5" s="3">
        <f>SUMIFS(Budget!$F$2:$F$109,Budget!$C$2:$C$109,$A5,Budget!$B$2:$B$109,C$2)</f>
        <v>-64800</v>
      </c>
      <c r="D5" s="3">
        <f>SUMIFS(Budget!$F$2:$F$109,Budget!$C$2:$C$109,$A5,Budget!$B$2:$B$109,D$2)</f>
        <v>-135500</v>
      </c>
      <c r="E5" s="3">
        <f>SUMIFS(Budget!$F$2:$F$109,Budget!$C$2:$C$109,$A5,Budget!$B$2:$B$109,E$2)</f>
        <v>-29700</v>
      </c>
      <c r="F5" s="3">
        <f>SUMIFS(Budget!$F$2:$F$109,Budget!$C$2:$C$109,$A5,Budget!$B$2:$B$109,F$2)</f>
        <v>204900</v>
      </c>
      <c r="G5" s="3">
        <f>SUMIFS(Budget!$F$2:$F$109,Budget!$C$2:$C$109,$A5,Budget!$B$2:$B$109,G$2)</f>
        <v>-38200</v>
      </c>
    </row>
    <row r="6">
      <c r="A6" s="3" t="str">
        <f>IFERROR(__xludf.DUMMYFUNCTION("""COMPUTED_VALUE"""),"Offline")</f>
        <v>Offline</v>
      </c>
      <c r="B6" s="3">
        <f>SUMIFS(Budget!$F$2:$F$109,Budget!$C$2:$C$109,$A6,Budget!$B$2:$B$109,B$2)</f>
        <v>-50700</v>
      </c>
      <c r="C6" s="3">
        <f>SUMIFS(Budget!$F$2:$F$109,Budget!$C$2:$C$109,$A6,Budget!$B$2:$B$109,C$2)</f>
        <v>-39600</v>
      </c>
      <c r="D6" s="3">
        <f>SUMIFS(Budget!$F$2:$F$109,Budget!$C$2:$C$109,$A6,Budget!$B$2:$B$109,D$2)</f>
        <v>-127000</v>
      </c>
      <c r="E6" s="3">
        <f>SUMIFS(Budget!$F$2:$F$109,Budget!$C$2:$C$109,$A6,Budget!$B$2:$B$109,E$2)</f>
        <v>-117200</v>
      </c>
      <c r="F6" s="3">
        <f>SUMIFS(Budget!$F$2:$F$109,Budget!$C$2:$C$109,$A6,Budget!$B$2:$B$109,F$2)</f>
        <v>-84500</v>
      </c>
      <c r="G6" s="3">
        <f>SUMIFS(Budget!$F$2:$F$109,Budget!$C$2:$C$109,$A6,Budget!$B$2:$B$109,G$2)</f>
        <v>-500</v>
      </c>
    </row>
    <row r="7">
      <c r="A7" s="3" t="str">
        <f>IFERROR(__xludf.DUMMYFUNCTION("""COMPUTED_VALUE"""),"Google Ads")</f>
        <v>Google Ads</v>
      </c>
      <c r="B7" s="3">
        <f>SUMIFS(Budget!$F$2:$F$109,Budget!$C$2:$C$109,$A7,Budget!$B$2:$B$109,B$2)</f>
        <v>-3900</v>
      </c>
      <c r="C7" s="3">
        <f>SUMIFS(Budget!$F$2:$F$109,Budget!$C$2:$C$109,$A7,Budget!$B$2:$B$109,C$2)</f>
        <v>-12000</v>
      </c>
      <c r="D7" s="3">
        <f>SUMIFS(Budget!$F$2:$F$109,Budget!$C$2:$C$109,$A7,Budget!$B$2:$B$109,D$2)</f>
        <v>-75700</v>
      </c>
      <c r="E7" s="3">
        <f>SUMIFS(Budget!$F$2:$F$109,Budget!$C$2:$C$109,$A7,Budget!$B$2:$B$109,E$2)</f>
        <v>44500</v>
      </c>
      <c r="F7" s="3">
        <f>SUMIFS(Budget!$F$2:$F$109,Budget!$C$2:$C$109,$A7,Budget!$B$2:$B$109,F$2)</f>
        <v>110000</v>
      </c>
      <c r="G7" s="3">
        <f>SUMIFS(Budget!$F$2:$F$109,Budget!$C$2:$C$109,$A7,Budget!$B$2:$B$109,G$2)</f>
        <v>-37100</v>
      </c>
    </row>
    <row r="8">
      <c r="A8" s="3" t="str">
        <f>IFERROR(__xludf.DUMMYFUNCTION("""COMPUTED_VALUE"""),"Twitter")</f>
        <v>Twitter</v>
      </c>
      <c r="B8" s="3">
        <f>SUMIFS(Budget!$F$2:$F$109,Budget!$C$2:$C$109,$A8,Budget!$B$2:$B$109,B$2)</f>
        <v>8800</v>
      </c>
      <c r="C8" s="3">
        <f>SUMIFS(Budget!$F$2:$F$109,Budget!$C$2:$C$109,$A8,Budget!$B$2:$B$109,C$2)</f>
        <v>90400</v>
      </c>
      <c r="D8" s="3">
        <f>SUMIFS(Budget!$F$2:$F$109,Budget!$C$2:$C$109,$A8,Budget!$B$2:$B$109,D$2)</f>
        <v>-79100</v>
      </c>
      <c r="E8" s="3">
        <f>SUMIFS(Budget!$F$2:$F$109,Budget!$C$2:$C$109,$A8,Budget!$B$2:$B$109,E$2)</f>
        <v>3800</v>
      </c>
      <c r="F8" s="3">
        <f>SUMIFS(Budget!$F$2:$F$109,Budget!$C$2:$C$109,$A8,Budget!$B$2:$B$109,F$2)</f>
        <v>57900</v>
      </c>
      <c r="G8" s="3">
        <f>SUMIFS(Budget!$F$2:$F$109,Budget!$C$2:$C$109,$A8,Budget!$B$2:$B$109,G$2)</f>
        <v>-607300</v>
      </c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229</v>
      </c>
    </row>
    <row r="2">
      <c r="A2" s="13" t="s">
        <v>2</v>
      </c>
      <c r="B2" s="13" t="s">
        <v>7</v>
      </c>
      <c r="C2" s="14" t="s">
        <v>14</v>
      </c>
      <c r="D2" s="14" t="s">
        <v>15</v>
      </c>
      <c r="E2" s="14" t="s">
        <v>16</v>
      </c>
      <c r="F2" s="14" t="s">
        <v>17</v>
      </c>
      <c r="G2" s="14" t="s">
        <v>18</v>
      </c>
    </row>
    <row r="3">
      <c r="A3" s="3" t="str">
        <f>IFERROR(__xludf.DUMMYFUNCTION("UNIQUE(Budget!C2:C109)"),"Facebook")</f>
        <v>Facebook</v>
      </c>
      <c r="B3" s="3" t="str">
        <f>IFS('Quaterly Variance Analysis'!B$3:B$8 &gt; 100000,"Excellent",'Quaterly Variance Analysis'!B$3:B$8 &gt; 0,"Good",'Quaterly Variance Analysis'!B$3:B$8 &lt; 0,"Bad")</f>
        <v>Excellent</v>
      </c>
      <c r="C3" s="3" t="str">
        <f>IFS('Quaterly Variance Analysis'!C$3:C$8 &gt; 100000,"Excellent",'Quaterly Variance Analysis'!C$3:C$8 &gt; 0,"Good",'Quaterly Variance Analysis'!C$3:C$8 &lt; 0,"Bad")</f>
        <v>Bad</v>
      </c>
      <c r="D3" s="3" t="str">
        <f>IFS('Quaterly Variance Analysis'!D$3:D$8 &gt; 100000,"Excellent",'Quaterly Variance Analysis'!D$3:D$8 &gt; 0,"Good",'Quaterly Variance Analysis'!D$3:D$8 &lt; 0,"Bad")</f>
        <v>Good</v>
      </c>
      <c r="E3" s="3" t="str">
        <f>IFS('Quaterly Variance Analysis'!E$3:E$8 &gt; 100000,"Excellent",'Quaterly Variance Analysis'!E$3:E$8 &gt; 0,"Good",'Quaterly Variance Analysis'!E$3:E$8 &lt; 0,"Bad")</f>
        <v>Good</v>
      </c>
      <c r="F3" s="3" t="str">
        <f>IFS('Quaterly Variance Analysis'!F$3:F$8 &gt; 100000,"Excellent",'Quaterly Variance Analysis'!F$3:F$8 &gt; 0,"Good",'Quaterly Variance Analysis'!F$3:F$8 &lt; 0,"Bad")</f>
        <v>Good</v>
      </c>
      <c r="G3" s="3" t="str">
        <f>IFS('Quaterly Variance Analysis'!G$3:G$8 &gt; 100000,"Excellent",'Quaterly Variance Analysis'!G$3:G$8 &gt; 0,"Good",'Quaterly Variance Analysis'!G$3:G$8 &lt; 0,"Bad")</f>
        <v>Bad</v>
      </c>
    </row>
    <row r="4">
      <c r="A4" s="3" t="str">
        <f>IFERROR(__xludf.DUMMYFUNCTION("""COMPUTED_VALUE"""),"Youtube")</f>
        <v>Youtube</v>
      </c>
      <c r="B4" s="3" t="str">
        <f>IFS('Quaterly Variance Analysis'!B$3:B$8 &gt; 100000,"Excellent",'Quaterly Variance Analysis'!B$3:B$8 &gt; 0,"Good",'Quaterly Variance Analysis'!B$3:B$8 &lt; 0,"Bad")</f>
        <v>Bad</v>
      </c>
      <c r="C4" s="3" t="str">
        <f>IFS('Quaterly Variance Analysis'!C$3:C$8 &gt; 100000,"Excellent",'Quaterly Variance Analysis'!C$3:C$8 &gt; 0,"Good",'Quaterly Variance Analysis'!C$3:C$8 &lt; 0,"Bad")</f>
        <v>Excellent</v>
      </c>
      <c r="D4" s="3" t="str">
        <f>IFS('Quaterly Variance Analysis'!D$3:D$8 &gt; 100000,"Excellent",'Quaterly Variance Analysis'!D$3:D$8 &gt; 0,"Good",'Quaterly Variance Analysis'!D$3:D$8 &lt; 0,"Bad")</f>
        <v>Good</v>
      </c>
      <c r="E4" s="3" t="str">
        <f>IFS('Quaterly Variance Analysis'!E$3:E$8 &gt; 100000,"Excellent",'Quaterly Variance Analysis'!E$3:E$8 &gt; 0,"Good",'Quaterly Variance Analysis'!E$3:E$8 &lt; 0,"Bad")</f>
        <v>Bad</v>
      </c>
      <c r="F4" s="3" t="str">
        <f>IFS('Quaterly Variance Analysis'!F$3:F$8 &gt; 100000,"Excellent",'Quaterly Variance Analysis'!F$3:F$8 &gt; 0,"Good",'Quaterly Variance Analysis'!F$3:F$8 &lt; 0,"Bad")</f>
        <v>Good</v>
      </c>
      <c r="G4" s="3" t="str">
        <f>IFS('Quaterly Variance Analysis'!G$3:G$8 &gt; 100000,"Excellent",'Quaterly Variance Analysis'!G$3:G$8 &gt; 0,"Good",'Quaterly Variance Analysis'!G$3:G$8 &lt; 0,"Bad")</f>
        <v>Bad</v>
      </c>
    </row>
    <row r="5">
      <c r="A5" s="3" t="str">
        <f>IFERROR(__xludf.DUMMYFUNCTION("""COMPUTED_VALUE"""),"Instagram")</f>
        <v>Instagram</v>
      </c>
      <c r="B5" s="3" t="str">
        <f>IFS('Quaterly Variance Analysis'!B$3:B$8 &gt; 100000,"Excellent",'Quaterly Variance Analysis'!B$3:B$8 &gt; 0,"Good",'Quaterly Variance Analysis'!B$3:B$8 &lt; 0,"Bad")</f>
        <v>Bad</v>
      </c>
      <c r="C5" s="3" t="str">
        <f>IFS('Quaterly Variance Analysis'!C$3:C$8 &gt; 100000,"Excellent",'Quaterly Variance Analysis'!C$3:C$8 &gt; 0,"Good",'Quaterly Variance Analysis'!C$3:C$8 &lt; 0,"Bad")</f>
        <v>Bad</v>
      </c>
      <c r="D5" s="3" t="str">
        <f>IFS('Quaterly Variance Analysis'!D$3:D$8 &gt; 100000,"Excellent",'Quaterly Variance Analysis'!D$3:D$8 &gt; 0,"Good",'Quaterly Variance Analysis'!D$3:D$8 &lt; 0,"Bad")</f>
        <v>Bad</v>
      </c>
      <c r="E5" s="3" t="str">
        <f>IFS('Quaterly Variance Analysis'!E$3:E$8 &gt; 100000,"Excellent",'Quaterly Variance Analysis'!E$3:E$8 &gt; 0,"Good",'Quaterly Variance Analysis'!E$3:E$8 &lt; 0,"Bad")</f>
        <v>Bad</v>
      </c>
      <c r="F5" s="3" t="str">
        <f>IFS('Quaterly Variance Analysis'!F$3:F$8 &gt; 100000,"Excellent",'Quaterly Variance Analysis'!F$3:F$8 &gt; 0,"Good",'Quaterly Variance Analysis'!F$3:F$8 &lt; 0,"Bad")</f>
        <v>Excellent</v>
      </c>
      <c r="G5" s="3" t="str">
        <f>IFS('Quaterly Variance Analysis'!G$3:G$8 &gt; 100000,"Excellent",'Quaterly Variance Analysis'!G$3:G$8 &gt; 0,"Good",'Quaterly Variance Analysis'!G$3:G$8 &lt; 0,"Bad")</f>
        <v>Bad</v>
      </c>
    </row>
    <row r="6">
      <c r="A6" s="3" t="str">
        <f>IFERROR(__xludf.DUMMYFUNCTION("""COMPUTED_VALUE"""),"Offline")</f>
        <v>Offline</v>
      </c>
      <c r="B6" s="3" t="str">
        <f>IFS('Quaterly Variance Analysis'!B$3:B$8 &gt; 100000,"Excellent",'Quaterly Variance Analysis'!B$3:B$8 &gt; 0,"Good",'Quaterly Variance Analysis'!B$3:B$8 &lt; 0,"Bad")</f>
        <v>Bad</v>
      </c>
      <c r="C6" s="3" t="str">
        <f>IFS('Quaterly Variance Analysis'!C$3:C$8 &gt; 100000,"Excellent",'Quaterly Variance Analysis'!C$3:C$8 &gt; 0,"Good",'Quaterly Variance Analysis'!C$3:C$8 &lt; 0,"Bad")</f>
        <v>Bad</v>
      </c>
      <c r="D6" s="3" t="str">
        <f>IFS('Quaterly Variance Analysis'!D$3:D$8 &gt; 100000,"Excellent",'Quaterly Variance Analysis'!D$3:D$8 &gt; 0,"Good",'Quaterly Variance Analysis'!D$3:D$8 &lt; 0,"Bad")</f>
        <v>Bad</v>
      </c>
      <c r="E6" s="3" t="str">
        <f>IFS('Quaterly Variance Analysis'!E$3:E$8 &gt; 100000,"Excellent",'Quaterly Variance Analysis'!E$3:E$8 &gt; 0,"Good",'Quaterly Variance Analysis'!E$3:E$8 &lt; 0,"Bad")</f>
        <v>Bad</v>
      </c>
      <c r="F6" s="3" t="str">
        <f>IFS('Quaterly Variance Analysis'!F$3:F$8 &gt; 100000,"Excellent",'Quaterly Variance Analysis'!F$3:F$8 &gt; 0,"Good",'Quaterly Variance Analysis'!F$3:F$8 &lt; 0,"Bad")</f>
        <v>Bad</v>
      </c>
      <c r="G6" s="3" t="str">
        <f>IFS('Quaterly Variance Analysis'!G$3:G$8 &gt; 100000,"Excellent",'Quaterly Variance Analysis'!G$3:G$8 &gt; 0,"Good",'Quaterly Variance Analysis'!G$3:G$8 &lt; 0,"Bad")</f>
        <v>Bad</v>
      </c>
    </row>
    <row r="7">
      <c r="A7" s="3" t="str">
        <f>IFERROR(__xludf.DUMMYFUNCTION("""COMPUTED_VALUE"""),"Google Ads")</f>
        <v>Google Ads</v>
      </c>
      <c r="B7" s="3" t="str">
        <f>IFS('Quaterly Variance Analysis'!B$3:B$8 &gt; 100000,"Excellent",'Quaterly Variance Analysis'!B$3:B$8 &gt; 0,"Good",'Quaterly Variance Analysis'!B$3:B$8 &lt; 0,"Bad")</f>
        <v>Bad</v>
      </c>
      <c r="C7" s="3" t="str">
        <f>IFS('Quaterly Variance Analysis'!C$3:C$8 &gt; 100000,"Excellent",'Quaterly Variance Analysis'!C$3:C$8 &gt; 0,"Good",'Quaterly Variance Analysis'!C$3:C$8 &lt; 0,"Bad")</f>
        <v>Bad</v>
      </c>
      <c r="D7" s="3" t="str">
        <f>IFS('Quaterly Variance Analysis'!D$3:D$8 &gt; 100000,"Excellent",'Quaterly Variance Analysis'!D$3:D$8 &gt; 0,"Good",'Quaterly Variance Analysis'!D$3:D$8 &lt; 0,"Bad")</f>
        <v>Bad</v>
      </c>
      <c r="E7" s="3" t="str">
        <f>IFS('Quaterly Variance Analysis'!E$3:E$8 &gt; 100000,"Excellent",'Quaterly Variance Analysis'!E$3:E$8 &gt; 0,"Good",'Quaterly Variance Analysis'!E$3:E$8 &lt; 0,"Bad")</f>
        <v>Good</v>
      </c>
      <c r="F7" s="3" t="str">
        <f>IFS('Quaterly Variance Analysis'!F$3:F$8 &gt; 100000,"Excellent",'Quaterly Variance Analysis'!F$3:F$8 &gt; 0,"Good",'Quaterly Variance Analysis'!F$3:F$8 &lt; 0,"Bad")</f>
        <v>Excellent</v>
      </c>
      <c r="G7" s="3" t="str">
        <f>IFS('Quaterly Variance Analysis'!G$3:G$8 &gt; 100000,"Excellent",'Quaterly Variance Analysis'!G$3:G$8 &gt; 0,"Good",'Quaterly Variance Analysis'!G$3:G$8 &lt; 0,"Bad")</f>
        <v>Bad</v>
      </c>
    </row>
    <row r="8">
      <c r="A8" s="3" t="str">
        <f>IFERROR(__xludf.DUMMYFUNCTION("""COMPUTED_VALUE"""),"Twitter")</f>
        <v>Twitter</v>
      </c>
      <c r="B8" s="3" t="str">
        <f>IFS('Quaterly Variance Analysis'!B$3:B$8 &gt; 100000,"Excellent",'Quaterly Variance Analysis'!B$3:B$8 &gt; 0,"Good",'Quaterly Variance Analysis'!B$3:B$8 &lt; 0,"Bad")</f>
        <v>Good</v>
      </c>
      <c r="C8" s="3" t="str">
        <f>IFS('Quaterly Variance Analysis'!C$3:C$8 &gt; 100000,"Excellent",'Quaterly Variance Analysis'!C$3:C$8 &gt; 0,"Good",'Quaterly Variance Analysis'!C$3:C$8 &lt; 0,"Bad")</f>
        <v>Good</v>
      </c>
      <c r="D8" s="3" t="str">
        <f>IFS('Quaterly Variance Analysis'!D$3:D$8 &gt; 100000,"Excellent",'Quaterly Variance Analysis'!D$3:D$8 &gt; 0,"Good",'Quaterly Variance Analysis'!D$3:D$8 &lt; 0,"Bad")</f>
        <v>Bad</v>
      </c>
      <c r="E8" s="3" t="str">
        <f>IFS('Quaterly Variance Analysis'!E$3:E$8 &gt; 100000,"Excellent",'Quaterly Variance Analysis'!E$3:E$8 &gt; 0,"Good",'Quaterly Variance Analysis'!E$3:E$8 &lt; 0,"Bad")</f>
        <v>Good</v>
      </c>
      <c r="F8" s="3" t="str">
        <f>IFS('Quaterly Variance Analysis'!F$3:F$8 &gt; 100000,"Excellent",'Quaterly Variance Analysis'!F$3:F$8 &gt; 0,"Good",'Quaterly Variance Analysis'!F$3:F$8 &lt; 0,"Bad")</f>
        <v>Good</v>
      </c>
      <c r="G8" s="3" t="str">
        <f>IFS('Quaterly Variance Analysis'!G$3:G$8 &gt; 100000,"Excellent",'Quaterly Variance Analysis'!G$3:G$8 &gt; 0,"Good",'Quaterly Variance Analysis'!G$3:G$8 &lt; 0,"Bad")</f>
        <v>Bad</v>
      </c>
    </row>
    <row r="10">
      <c r="A10" s="12" t="s">
        <v>229</v>
      </c>
    </row>
    <row r="11">
      <c r="A11" s="13" t="s">
        <v>230</v>
      </c>
      <c r="B11" s="13" t="s">
        <v>7</v>
      </c>
      <c r="C11" s="14" t="s">
        <v>14</v>
      </c>
      <c r="D11" s="14" t="s">
        <v>15</v>
      </c>
      <c r="E11" s="14" t="s">
        <v>16</v>
      </c>
      <c r="F11" s="14" t="s">
        <v>17</v>
      </c>
      <c r="G11" s="14" t="s">
        <v>18</v>
      </c>
    </row>
    <row r="12">
      <c r="A12" s="3" t="str">
        <f>IFERROR(__xludf.DUMMYFUNCTION("UNIQUE(B3:B8)"),"Excellent")</f>
        <v>Excellent</v>
      </c>
      <c r="B12" s="3">
        <f t="shared" ref="B12:G12" si="1">COUNTIFS(B$3:B$8,$A12)</f>
        <v>1</v>
      </c>
      <c r="C12" s="3">
        <f t="shared" si="1"/>
        <v>1</v>
      </c>
      <c r="D12" s="3">
        <f t="shared" si="1"/>
        <v>0</v>
      </c>
      <c r="E12" s="3">
        <f t="shared" si="1"/>
        <v>0</v>
      </c>
      <c r="F12" s="3">
        <f t="shared" si="1"/>
        <v>2</v>
      </c>
      <c r="G12" s="3">
        <f t="shared" si="1"/>
        <v>0</v>
      </c>
    </row>
    <row r="13">
      <c r="A13" s="3" t="str">
        <f>IFERROR(__xludf.DUMMYFUNCTION("""COMPUTED_VALUE"""),"Bad")</f>
        <v>Bad</v>
      </c>
      <c r="B13" s="3">
        <f t="shared" ref="B13:G13" si="2">COUNTIFS(B$3:B$8,$A13)</f>
        <v>4</v>
      </c>
      <c r="C13" s="3">
        <f t="shared" si="2"/>
        <v>4</v>
      </c>
      <c r="D13" s="3">
        <f t="shared" si="2"/>
        <v>4</v>
      </c>
      <c r="E13" s="3">
        <f t="shared" si="2"/>
        <v>3</v>
      </c>
      <c r="F13" s="3">
        <f t="shared" si="2"/>
        <v>1</v>
      </c>
      <c r="G13" s="3">
        <f t="shared" si="2"/>
        <v>6</v>
      </c>
    </row>
    <row r="14">
      <c r="A14" s="3" t="str">
        <f>IFERROR(__xludf.DUMMYFUNCTION("""COMPUTED_VALUE"""),"Good")</f>
        <v>Good</v>
      </c>
      <c r="B14" s="3">
        <f t="shared" ref="B14:G14" si="3">COUNTIFS(B$3:B$8,$A14)</f>
        <v>1</v>
      </c>
      <c r="C14" s="3">
        <f t="shared" si="3"/>
        <v>1</v>
      </c>
      <c r="D14" s="3">
        <f t="shared" si="3"/>
        <v>2</v>
      </c>
      <c r="E14" s="3">
        <f t="shared" si="3"/>
        <v>3</v>
      </c>
      <c r="F14" s="3">
        <f t="shared" si="3"/>
        <v>3</v>
      </c>
      <c r="G14" s="3">
        <f t="shared" si="3"/>
        <v>0</v>
      </c>
    </row>
  </sheetData>
  <mergeCells count="2">
    <mergeCell ref="A1:G1"/>
    <mergeCell ref="A10:G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231</v>
      </c>
    </row>
    <row r="2">
      <c r="A2" s="16" t="s">
        <v>2</v>
      </c>
      <c r="B2" s="16" t="s">
        <v>6</v>
      </c>
      <c r="C2" s="16" t="s">
        <v>19</v>
      </c>
      <c r="D2" s="16" t="s">
        <v>20</v>
      </c>
    </row>
    <row r="3">
      <c r="A3" s="3" t="str">
        <f>IFERROR(__xludf.DUMMYFUNCTION("UNIQUE(Budget!C2:C109)"),"Facebook")</f>
        <v>Facebook</v>
      </c>
      <c r="B3" s="3">
        <f>SUMIFS(Budget!$F$2:$F$109,Budget!$C$2:$C$109,$A3,Budget!$A$2:$A$109,B$2)</f>
        <v>276500</v>
      </c>
      <c r="C3" s="3">
        <f>SUMIFS(Budget!$F$2:$F$109,Budget!$C$2:$C$109,$A3,Budget!$A$2:$A$109,C$2)</f>
        <v>195000</v>
      </c>
      <c r="D3" s="3">
        <f>SUMIFS(Budget!$F$2:$F$109,Budget!$C$2:$C$109,$A3,Budget!$A$2:$A$109,D$2)</f>
        <v>22300</v>
      </c>
    </row>
    <row r="4">
      <c r="A4" s="3" t="str">
        <f>IFERROR(__xludf.DUMMYFUNCTION("""COMPUTED_VALUE"""),"Youtube")</f>
        <v>Youtube</v>
      </c>
      <c r="B4" s="3">
        <f>SUMIFS(Budget!$F$2:$F$109,Budget!$C$2:$C$109,$A4,Budget!$A$2:$A$109,B$2)</f>
        <v>206200</v>
      </c>
      <c r="C4" s="3">
        <f>SUMIFS(Budget!$F$2:$F$109,Budget!$C$2:$C$109,$A4,Budget!$A$2:$A$109,C$2)</f>
        <v>-1600</v>
      </c>
      <c r="D4" s="3">
        <f>SUMIFS(Budget!$F$2:$F$109,Budget!$C$2:$C$109,$A4,Budget!$A$2:$A$109,D$2)</f>
        <v>-43400</v>
      </c>
    </row>
    <row r="5">
      <c r="A5" s="3" t="str">
        <f>IFERROR(__xludf.DUMMYFUNCTION("""COMPUTED_VALUE"""),"Instagram")</f>
        <v>Instagram</v>
      </c>
      <c r="B5" s="3">
        <f>SUMIFS(Budget!$F$2:$F$109,Budget!$C$2:$C$109,$A5,Budget!$A$2:$A$109,B$2)</f>
        <v>-117500</v>
      </c>
      <c r="C5" s="3">
        <f>SUMIFS(Budget!$F$2:$F$109,Budget!$C$2:$C$109,$A5,Budget!$A$2:$A$109,C$2)</f>
        <v>5200</v>
      </c>
      <c r="D5" s="3">
        <f>SUMIFS(Budget!$F$2:$F$109,Budget!$C$2:$C$109,$A5,Budget!$A$2:$A$109,D$2)</f>
        <v>2200</v>
      </c>
    </row>
    <row r="6">
      <c r="A6" s="3" t="str">
        <f>IFERROR(__xludf.DUMMYFUNCTION("""COMPUTED_VALUE"""),"Offline")</f>
        <v>Offline</v>
      </c>
      <c r="B6" s="3">
        <f>SUMIFS(Budget!$F$2:$F$109,Budget!$C$2:$C$109,$A6,Budget!$A$2:$A$109,B$2)</f>
        <v>-175800</v>
      </c>
      <c r="C6" s="3">
        <f>SUMIFS(Budget!$F$2:$F$109,Budget!$C$2:$C$109,$A6,Budget!$A$2:$A$109,C$2)</f>
        <v>-125600</v>
      </c>
      <c r="D6" s="3">
        <f>SUMIFS(Budget!$F$2:$F$109,Budget!$C$2:$C$109,$A6,Budget!$A$2:$A$109,D$2)</f>
        <v>-118100</v>
      </c>
    </row>
    <row r="7">
      <c r="A7" s="3" t="str">
        <f>IFERROR(__xludf.DUMMYFUNCTION("""COMPUTED_VALUE"""),"Google Ads")</f>
        <v>Google Ads</v>
      </c>
      <c r="B7" s="3">
        <f>SUMIFS(Budget!$F$2:$F$109,Budget!$C$2:$C$109,$A7,Budget!$A$2:$A$109,B$2)</f>
        <v>28000</v>
      </c>
      <c r="C7" s="3">
        <f>SUMIFS(Budget!$F$2:$F$109,Budget!$C$2:$C$109,$A7,Budget!$A$2:$A$109,C$2)</f>
        <v>40100</v>
      </c>
      <c r="D7" s="3">
        <f>SUMIFS(Budget!$F$2:$F$109,Budget!$C$2:$C$109,$A7,Budget!$A$2:$A$109,D$2)</f>
        <v>-42300</v>
      </c>
    </row>
    <row r="8">
      <c r="A8" s="3" t="str">
        <f>IFERROR(__xludf.DUMMYFUNCTION("""COMPUTED_VALUE"""),"Twitter")</f>
        <v>Twitter</v>
      </c>
      <c r="B8" s="3">
        <f>SUMIFS(Budget!$F$2:$F$109,Budget!$C$2:$C$109,$A8,Budget!$A$2:$A$109,B$2)</f>
        <v>-553100</v>
      </c>
      <c r="C8" s="3">
        <f>SUMIFS(Budget!$F$2:$F$109,Budget!$C$2:$C$109,$A8,Budget!$A$2:$A$109,C$2)</f>
        <v>151700</v>
      </c>
      <c r="D8" s="3">
        <f>SUMIFS(Budget!$F$2:$F$109,Budget!$C$2:$C$109,$A8,Budget!$A$2:$A$109,D$2)</f>
        <v>-124100</v>
      </c>
    </row>
    <row r="10">
      <c r="A10" s="15" t="s">
        <v>231</v>
      </c>
    </row>
    <row r="11">
      <c r="A11" s="16" t="s">
        <v>2</v>
      </c>
      <c r="B11" s="16" t="s">
        <v>6</v>
      </c>
      <c r="C11" s="16" t="s">
        <v>19</v>
      </c>
      <c r="D11" s="16" t="s">
        <v>20</v>
      </c>
    </row>
    <row r="12">
      <c r="A12" s="4" t="s">
        <v>8</v>
      </c>
      <c r="B12" s="3">
        <f>COUNTIFS('Transaction data'!$O$2:$O$645,$A12,'Transaction data'!$B$2:$B$645,B$11)</f>
        <v>46</v>
      </c>
      <c r="C12" s="3">
        <f>COUNTIFS('Transaction data'!$O$2:$O$645,$A12,'Transaction data'!$B$2:$B$645,C$11)</f>
        <v>39</v>
      </c>
      <c r="D12" s="3">
        <f>COUNTIFS('Transaction data'!$O$2:$O$645,$A12,'Transaction data'!$B$2:$B$645,D$11)</f>
        <v>39</v>
      </c>
    </row>
    <row r="13">
      <c r="A13" s="4" t="s">
        <v>10</v>
      </c>
      <c r="B13" s="3">
        <f>COUNTIFS('Transaction data'!$O$2:$O$645,$A13,'Transaction data'!$B$2:$B$645,B$11)</f>
        <v>39</v>
      </c>
      <c r="C13" s="3">
        <f>COUNTIFS('Transaction data'!$O$2:$O$645,$A13,'Transaction data'!$B$2:$B$645,C$11)</f>
        <v>45</v>
      </c>
      <c r="D13" s="3">
        <f>COUNTIFS('Transaction data'!$O$2:$O$645,$A13,'Transaction data'!$B$2:$B$645,D$11)</f>
        <v>43</v>
      </c>
    </row>
  </sheetData>
  <mergeCells count="2">
    <mergeCell ref="A1:D1"/>
    <mergeCell ref="A10:D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