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dget" sheetId="1" r:id="rId4"/>
    <sheet state="visible" name="Budget Vs Actual" sheetId="2" r:id="rId5"/>
    <sheet state="visible" name="Card_Details" sheetId="3" r:id="rId6"/>
    <sheet state="visible" name="Transaction data" sheetId="4" r:id="rId7"/>
  </sheets>
  <definedNames/>
  <calcPr/>
</workbook>
</file>

<file path=xl/sharedStrings.xml><?xml version="1.0" encoding="utf-8"?>
<sst xmlns="http://schemas.openxmlformats.org/spreadsheetml/2006/main" count="617" uniqueCount="191">
  <si>
    <t>Month</t>
  </si>
  <si>
    <t>Office</t>
  </si>
  <si>
    <t>Category</t>
  </si>
  <si>
    <t>Budget</t>
  </si>
  <si>
    <t>January</t>
  </si>
  <si>
    <t>Bengaluru</t>
  </si>
  <si>
    <t>Supplies</t>
  </si>
  <si>
    <t>Rent</t>
  </si>
  <si>
    <t>Printing</t>
  </si>
  <si>
    <t>Utilities</t>
  </si>
  <si>
    <t>Stationery</t>
  </si>
  <si>
    <t>Internet</t>
  </si>
  <si>
    <t>Meetings</t>
  </si>
  <si>
    <t>Travel</t>
  </si>
  <si>
    <t>Education</t>
  </si>
  <si>
    <t>Telecommunications</t>
  </si>
  <si>
    <t>Insurance</t>
  </si>
  <si>
    <t>Equipment</t>
  </si>
  <si>
    <t>February</t>
  </si>
  <si>
    <t>March</t>
  </si>
  <si>
    <t>Kolkata</t>
  </si>
  <si>
    <t>Actual</t>
  </si>
  <si>
    <t>Card Number</t>
  </si>
  <si>
    <t>Transaction ID</t>
  </si>
  <si>
    <t>Transaction Comment</t>
  </si>
  <si>
    <t>Transaction Amount</t>
  </si>
  <si>
    <t>Card Number Final</t>
  </si>
  <si>
    <t>#01</t>
  </si>
  <si>
    <t>06/January-Office-Supplies/4833</t>
  </si>
  <si>
    <t>#02</t>
  </si>
  <si>
    <t>07/January-Office-Rent/4833</t>
  </si>
  <si>
    <t>#03</t>
  </si>
  <si>
    <t>08/January-Office-Printing/4833</t>
  </si>
  <si>
    <t>#04</t>
  </si>
  <si>
    <t>09/January-Office-Utilities/4833</t>
  </si>
  <si>
    <t>#05</t>
  </si>
  <si>
    <t>10/January-Office-Stationery/4833</t>
  </si>
  <si>
    <t>#06</t>
  </si>
  <si>
    <t>11/January-Office-Internet/4833</t>
  </si>
  <si>
    <t>#07</t>
  </si>
  <si>
    <t>12/January-Office-Equipment/5554</t>
  </si>
  <si>
    <t>#08</t>
  </si>
  <si>
    <t>13/January-Office-Meetings/4833</t>
  </si>
  <si>
    <t>#09</t>
  </si>
  <si>
    <t>14/January-Office-Travel/4833</t>
  </si>
  <si>
    <t>#10</t>
  </si>
  <si>
    <t>15/January-Office-Insurance/5554</t>
  </si>
  <si>
    <t>#11</t>
  </si>
  <si>
    <t>16/January-Office-Education/4833</t>
  </si>
  <si>
    <t>#12</t>
  </si>
  <si>
    <t>17/January-Office-Telecommunications/4833</t>
  </si>
  <si>
    <t>#13</t>
  </si>
  <si>
    <t>01/January-Office-Supplies/4833</t>
  </si>
  <si>
    <t>#14</t>
  </si>
  <si>
    <t>02/January-Office-Rent/5554</t>
  </si>
  <si>
    <t>#15</t>
  </si>
  <si>
    <t>03/January-Office-Printing/4833</t>
  </si>
  <si>
    <t>#16</t>
  </si>
  <si>
    <t>04/January-Office-Utilities/5554</t>
  </si>
  <si>
    <t>#17</t>
  </si>
  <si>
    <t>05/January-Office-Stationery/4833</t>
  </si>
  <si>
    <t>#18</t>
  </si>
  <si>
    <t>06/January-Office-Internet/4833</t>
  </si>
  <si>
    <t>#19</t>
  </si>
  <si>
    <t>07/January-Office-Equipment/4833</t>
  </si>
  <si>
    <t>#20</t>
  </si>
  <si>
    <t>08/January-Office-Meetings/4833</t>
  </si>
  <si>
    <t>#21</t>
  </si>
  <si>
    <t>09/January-Office-Travel/4833</t>
  </si>
  <si>
    <t>#22</t>
  </si>
  <si>
    <t>10/January-Office-Insurance/4833</t>
  </si>
  <si>
    <t>#23</t>
  </si>
  <si>
    <t>01/January-Office-Printing/4833</t>
  </si>
  <si>
    <t>#24</t>
  </si>
  <si>
    <t>02/January-Office-Utilities/4833</t>
  </si>
  <si>
    <t>#25</t>
  </si>
  <si>
    <t>03/January-Office-Stationery/4833</t>
  </si>
  <si>
    <t>#26</t>
  </si>
  <si>
    <t>04/January-Office-Internet/4833</t>
  </si>
  <si>
    <t>#27</t>
  </si>
  <si>
    <t>05/January-Office-Equipment/4833</t>
  </si>
  <si>
    <t>#28</t>
  </si>
  <si>
    <t>06/January-Office-Meetings/5554</t>
  </si>
  <si>
    <t>#29</t>
  </si>
  <si>
    <t>07/January-Office-Travel/4833</t>
  </si>
  <si>
    <t>#30</t>
  </si>
  <si>
    <t>08/January-Office-Insurance/4833</t>
  </si>
  <si>
    <t>#31</t>
  </si>
  <si>
    <t>09/January-Office-Education/5554</t>
  </si>
  <si>
    <t>#32</t>
  </si>
  <si>
    <t>10/January-Office-Telecommunications/4833</t>
  </si>
  <si>
    <t>#33</t>
  </si>
  <si>
    <t>11/January-Office-Education/4833</t>
  </si>
  <si>
    <t>#34</t>
  </si>
  <si>
    <t>12/January-Office-Telecommunications/4833</t>
  </si>
  <si>
    <t>#35</t>
  </si>
  <si>
    <t>13/February-Office-Supplies/4833</t>
  </si>
  <si>
    <t>#36</t>
  </si>
  <si>
    <t>14/February-Office-Rent/4833</t>
  </si>
  <si>
    <t>#37</t>
  </si>
  <si>
    <t>15/February-Office-Printing/4833</t>
  </si>
  <si>
    <t>#38</t>
  </si>
  <si>
    <t>16/February-Office-Utilities/4833</t>
  </si>
  <si>
    <t>#39</t>
  </si>
  <si>
    <t>17/February-Office-Stationery/5554</t>
  </si>
  <si>
    <t>#40</t>
  </si>
  <si>
    <t>18/February-Office-Internet/4833</t>
  </si>
  <si>
    <t>#41</t>
  </si>
  <si>
    <t>19/February-Office-Equipment/5554</t>
  </si>
  <si>
    <t>#42</t>
  </si>
  <si>
    <t>20/February-Office-Meetings/4833</t>
  </si>
  <si>
    <t>#43</t>
  </si>
  <si>
    <t>21/February-Office-Travel/4833</t>
  </si>
  <si>
    <t>#44</t>
  </si>
  <si>
    <t>22/February-Office-Insurance/5554</t>
  </si>
  <si>
    <t>#45</t>
  </si>
  <si>
    <t>23/February-Office-Education/4833</t>
  </si>
  <si>
    <t>#46</t>
  </si>
  <si>
    <t>18/February-Office-Supplies/4833</t>
  </si>
  <si>
    <t>#47</t>
  </si>
  <si>
    <t>19/February-Office-Rent/5554</t>
  </si>
  <si>
    <t>#48</t>
  </si>
  <si>
    <t>20/February-Office-Printing/4833</t>
  </si>
  <si>
    <t>#49</t>
  </si>
  <si>
    <t>21/February-Office-Utilities/4833</t>
  </si>
  <si>
    <t>#50</t>
  </si>
  <si>
    <t>22/February-Office-Stationery/5554</t>
  </si>
  <si>
    <t>#51</t>
  </si>
  <si>
    <t>23/February-Office-Internet/4833</t>
  </si>
  <si>
    <t>#52</t>
  </si>
  <si>
    <t>24/February-Office-Equipment/4833</t>
  </si>
  <si>
    <t>#53</t>
  </si>
  <si>
    <t>25/February-Office-Meetings/4833</t>
  </si>
  <si>
    <t>#54</t>
  </si>
  <si>
    <t>26/February-Office-Travel/5554</t>
  </si>
  <si>
    <t>#55</t>
  </si>
  <si>
    <t>27/February-Office-Insurance/4833</t>
  </si>
  <si>
    <t>#56</t>
  </si>
  <si>
    <t>28/February-Office-Education/4833</t>
  </si>
  <si>
    <t>#57</t>
  </si>
  <si>
    <t>29/February-Office-Telecommunications/4833</t>
  </si>
  <si>
    <t>#58</t>
  </si>
  <si>
    <t>25/March-Office-Supplies/4833</t>
  </si>
  <si>
    <t>#59</t>
  </si>
  <si>
    <t>26/March-Office-Rent/4833</t>
  </si>
  <si>
    <t>#60</t>
  </si>
  <si>
    <t>27/March-Office-Printing/4833</t>
  </si>
  <si>
    <t>#61</t>
  </si>
  <si>
    <t>28/March-Office-Utilities/5554</t>
  </si>
  <si>
    <t>#62</t>
  </si>
  <si>
    <t>29/March-Office-Stationery/4833</t>
  </si>
  <si>
    <t>#63</t>
  </si>
  <si>
    <t>30/March-Office-Internet/4833</t>
  </si>
  <si>
    <t>#64</t>
  </si>
  <si>
    <t>11/March-Office-Supplies/4833</t>
  </si>
  <si>
    <t>#65</t>
  </si>
  <si>
    <t>12/March-Office-Rent/4833</t>
  </si>
  <si>
    <t>#66</t>
  </si>
  <si>
    <t>13/March-Office-Printing/4833</t>
  </si>
  <si>
    <t>#67</t>
  </si>
  <si>
    <t>14/March-Office-Utilities/5554</t>
  </si>
  <si>
    <t>#68</t>
  </si>
  <si>
    <t>15/March-Office-Stationery/4833</t>
  </si>
  <si>
    <t>#69</t>
  </si>
  <si>
    <t>16/March-Office-Internet/4833</t>
  </si>
  <si>
    <t>#70</t>
  </si>
  <si>
    <t>17/March-Office-Equipment/4833</t>
  </si>
  <si>
    <t>#71</t>
  </si>
  <si>
    <t>31/March-Office-Equipment/5554</t>
  </si>
  <si>
    <t>#72</t>
  </si>
  <si>
    <t>01/March-Office-Meetings/4833</t>
  </si>
  <si>
    <t>#73</t>
  </si>
  <si>
    <t>02/March-Office-Travel/4833</t>
  </si>
  <si>
    <t>#74</t>
  </si>
  <si>
    <t>03/March-Office-Insurance/4833</t>
  </si>
  <si>
    <t>#75</t>
  </si>
  <si>
    <t>04/March-Office-Education/5554</t>
  </si>
  <si>
    <t>#76</t>
  </si>
  <si>
    <t>05/March-Office-Telecommunications/4833</t>
  </si>
  <si>
    <t>#77</t>
  </si>
  <si>
    <t>30/March-Office-Supplies/5554</t>
  </si>
  <si>
    <t>#78</t>
  </si>
  <si>
    <t>31/March-Office-Rent/5554</t>
  </si>
  <si>
    <t>#79</t>
  </si>
  <si>
    <t>31/March-Office-Supplies/5554</t>
  </si>
  <si>
    <t>#80</t>
  </si>
  <si>
    <t>31/March-Office-Printing/5554</t>
  </si>
  <si>
    <t>#81</t>
  </si>
  <si>
    <t>31/March-Office-Internet/5554</t>
  </si>
  <si>
    <t>#82</t>
  </si>
  <si>
    <t>31/March-Office-Telecommunications/5554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</si>
</sst>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mm"/>
  </numFmts>
  <fonts count="9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  <font>
      <color rgb="FF000000"/>
      <name val="Arial"/>
    </font>
    <font>
      <color rgb="FF000000"/>
      <name val="Söhne"/>
    </font>
    <font>
      <sz val="11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0B5394"/>
        <bgColor rgb="FF0B5394"/>
      </patternFill>
    </fill>
    <fill>
      <patternFill patternType="solid">
        <fgColor rgb="FF1155CC"/>
        <bgColor rgb="FF1155C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3" fontId="3" numFmtId="0" xfId="0" applyFont="1"/>
    <xf borderId="0" fillId="0" fontId="4" numFmtId="0" xfId="0" applyFont="1"/>
    <xf borderId="1" fillId="4" fontId="5" numFmtId="0" xfId="0" applyAlignment="1" applyBorder="1" applyFill="1" applyFont="1">
      <alignment readingOrder="0"/>
    </xf>
    <xf borderId="1" fillId="5" fontId="6" numFmtId="0" xfId="0" applyAlignment="1" applyBorder="1" applyFill="1" applyFont="1">
      <alignment horizontal="left" readingOrder="0"/>
    </xf>
    <xf borderId="1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7" numFmtId="0" xfId="0" applyAlignment="1" applyFont="1">
      <alignment readingOrder="0" shrinkToFit="0" wrapText="1"/>
    </xf>
    <xf borderId="0" fillId="0" fontId="8" numFmtId="0" xfId="0" applyAlignment="1" applyFont="1">
      <alignment readingOrder="0"/>
    </xf>
    <xf borderId="0" fillId="0" fontId="7" numFmtId="164" xfId="0" applyAlignment="1" applyFont="1" applyNumberForma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13"/>
    <col customWidth="1" min="3" max="3" width="16.38"/>
    <col customWidth="1" min="4" max="4" width="15.75"/>
  </cols>
  <sheetData>
    <row r="1">
      <c r="A1" s="1" t="s">
        <v>0</v>
      </c>
      <c r="B1" s="2" t="s">
        <v>1</v>
      </c>
      <c r="C1" s="2" t="s">
        <v>2</v>
      </c>
      <c r="D1" s="1" t="s">
        <v>3</v>
      </c>
    </row>
    <row r="2">
      <c r="A2" s="3" t="s">
        <v>4</v>
      </c>
      <c r="B2" s="3" t="s">
        <v>5</v>
      </c>
      <c r="C2" s="4" t="s">
        <v>6</v>
      </c>
      <c r="D2" s="4">
        <v>199617.0</v>
      </c>
    </row>
    <row r="3">
      <c r="A3" s="3" t="s">
        <v>4</v>
      </c>
      <c r="B3" s="3" t="s">
        <v>5</v>
      </c>
      <c r="C3" s="4" t="s">
        <v>7</v>
      </c>
      <c r="D3" s="4">
        <v>128040.0</v>
      </c>
    </row>
    <row r="4">
      <c r="A4" s="3" t="s">
        <v>4</v>
      </c>
      <c r="B4" s="3" t="s">
        <v>5</v>
      </c>
      <c r="C4" s="4" t="s">
        <v>8</v>
      </c>
      <c r="D4" s="4">
        <v>178701.0</v>
      </c>
    </row>
    <row r="5">
      <c r="A5" s="3" t="s">
        <v>4</v>
      </c>
      <c r="B5" s="3" t="s">
        <v>5</v>
      </c>
      <c r="C5" s="4" t="s">
        <v>9</v>
      </c>
      <c r="D5" s="4">
        <v>70633.0</v>
      </c>
    </row>
    <row r="6">
      <c r="A6" s="3" t="s">
        <v>4</v>
      </c>
      <c r="B6" s="3" t="s">
        <v>5</v>
      </c>
      <c r="C6" s="4" t="s">
        <v>10</v>
      </c>
      <c r="D6" s="4">
        <v>166047.0</v>
      </c>
    </row>
    <row r="7">
      <c r="A7" s="3" t="s">
        <v>4</v>
      </c>
      <c r="B7" s="3" t="s">
        <v>5</v>
      </c>
      <c r="C7" s="4" t="s">
        <v>11</v>
      </c>
      <c r="D7" s="4">
        <v>144977.0</v>
      </c>
    </row>
    <row r="8">
      <c r="A8" s="3" t="s">
        <v>4</v>
      </c>
      <c r="B8" s="3" t="s">
        <v>5</v>
      </c>
      <c r="C8" s="4" t="s">
        <v>12</v>
      </c>
      <c r="D8" s="4">
        <v>169559.0</v>
      </c>
    </row>
    <row r="9">
      <c r="A9" s="3" t="s">
        <v>4</v>
      </c>
      <c r="B9" s="3" t="s">
        <v>5</v>
      </c>
      <c r="C9" s="4" t="s">
        <v>13</v>
      </c>
      <c r="D9" s="4">
        <v>127808.0</v>
      </c>
    </row>
    <row r="10">
      <c r="A10" s="3" t="s">
        <v>4</v>
      </c>
      <c r="B10" s="3" t="s">
        <v>5</v>
      </c>
      <c r="C10" s="4" t="s">
        <v>14</v>
      </c>
      <c r="D10" s="4">
        <v>107011.0</v>
      </c>
    </row>
    <row r="11">
      <c r="A11" s="3" t="s">
        <v>4</v>
      </c>
      <c r="B11" s="3" t="s">
        <v>5</v>
      </c>
      <c r="C11" s="4" t="s">
        <v>15</v>
      </c>
      <c r="D11" s="4">
        <v>65308.0</v>
      </c>
    </row>
    <row r="12">
      <c r="A12" s="3" t="s">
        <v>4</v>
      </c>
      <c r="B12" s="3" t="s">
        <v>5</v>
      </c>
      <c r="C12" s="4" t="s">
        <v>16</v>
      </c>
      <c r="D12" s="3">
        <v>30000.0</v>
      </c>
    </row>
    <row r="13">
      <c r="A13" s="3" t="s">
        <v>4</v>
      </c>
      <c r="B13" s="3" t="s">
        <v>5</v>
      </c>
      <c r="C13" s="4" t="s">
        <v>17</v>
      </c>
      <c r="D13" s="3">
        <v>50000.0</v>
      </c>
    </row>
    <row r="14">
      <c r="A14" s="3" t="s">
        <v>18</v>
      </c>
      <c r="B14" s="3" t="s">
        <v>5</v>
      </c>
      <c r="C14" s="4" t="s">
        <v>6</v>
      </c>
      <c r="D14" s="4">
        <v>150348.0</v>
      </c>
    </row>
    <row r="15">
      <c r="A15" s="3" t="s">
        <v>18</v>
      </c>
      <c r="B15" s="3" t="s">
        <v>5</v>
      </c>
      <c r="C15" s="4" t="s">
        <v>7</v>
      </c>
      <c r="D15" s="4">
        <v>84695.0</v>
      </c>
    </row>
    <row r="16">
      <c r="A16" s="3" t="s">
        <v>18</v>
      </c>
      <c r="B16" s="3" t="s">
        <v>5</v>
      </c>
      <c r="C16" s="4" t="s">
        <v>8</v>
      </c>
      <c r="D16" s="4">
        <v>167724.0</v>
      </c>
    </row>
    <row r="17">
      <c r="A17" s="3" t="s">
        <v>18</v>
      </c>
      <c r="B17" s="3" t="s">
        <v>5</v>
      </c>
      <c r="C17" s="4" t="s">
        <v>9</v>
      </c>
      <c r="D17" s="4">
        <v>198331.0</v>
      </c>
    </row>
    <row r="18">
      <c r="A18" s="3" t="s">
        <v>18</v>
      </c>
      <c r="B18" s="3" t="s">
        <v>5</v>
      </c>
      <c r="C18" s="4" t="s">
        <v>10</v>
      </c>
      <c r="D18" s="3">
        <v>765.0</v>
      </c>
    </row>
    <row r="19">
      <c r="A19" s="3" t="s">
        <v>18</v>
      </c>
      <c r="B19" s="3" t="s">
        <v>5</v>
      </c>
      <c r="C19" s="4" t="s">
        <v>11</v>
      </c>
      <c r="D19" s="4">
        <v>107563.0</v>
      </c>
    </row>
    <row r="20">
      <c r="A20" s="3" t="s">
        <v>18</v>
      </c>
      <c r="B20" s="3" t="s">
        <v>5</v>
      </c>
      <c r="C20" s="4" t="s">
        <v>17</v>
      </c>
      <c r="D20" s="4">
        <v>138355.0</v>
      </c>
    </row>
    <row r="21">
      <c r="A21" s="3" t="s">
        <v>18</v>
      </c>
      <c r="B21" s="3" t="s">
        <v>5</v>
      </c>
      <c r="C21" s="4" t="s">
        <v>12</v>
      </c>
      <c r="D21" s="4">
        <v>130712.0</v>
      </c>
    </row>
    <row r="22">
      <c r="A22" s="3" t="s">
        <v>18</v>
      </c>
      <c r="B22" s="3" t="s">
        <v>5</v>
      </c>
      <c r="C22" s="4" t="s">
        <v>13</v>
      </c>
      <c r="D22" s="4">
        <v>161328.0</v>
      </c>
    </row>
    <row r="23">
      <c r="A23" s="3" t="s">
        <v>18</v>
      </c>
      <c r="B23" s="3" t="s">
        <v>5</v>
      </c>
      <c r="C23" s="4" t="s">
        <v>16</v>
      </c>
      <c r="D23" s="4">
        <v>62680.0</v>
      </c>
    </row>
    <row r="24">
      <c r="A24" s="3" t="s">
        <v>18</v>
      </c>
      <c r="B24" s="3" t="s">
        <v>5</v>
      </c>
      <c r="C24" s="4" t="s">
        <v>14</v>
      </c>
      <c r="D24" s="4">
        <v>93218.0</v>
      </c>
    </row>
    <row r="25">
      <c r="A25" s="3" t="s">
        <v>18</v>
      </c>
      <c r="B25" s="3" t="s">
        <v>5</v>
      </c>
      <c r="C25" s="4" t="s">
        <v>15</v>
      </c>
      <c r="D25" s="4">
        <v>146002.0</v>
      </c>
    </row>
    <row r="26">
      <c r="A26" s="3" t="s">
        <v>19</v>
      </c>
      <c r="B26" s="3" t="s">
        <v>5</v>
      </c>
      <c r="C26" s="4" t="s">
        <v>6</v>
      </c>
      <c r="D26" s="4">
        <v>152419.0</v>
      </c>
    </row>
    <row r="27">
      <c r="A27" s="3" t="s">
        <v>19</v>
      </c>
      <c r="B27" s="3" t="s">
        <v>5</v>
      </c>
      <c r="C27" s="4" t="s">
        <v>7</v>
      </c>
      <c r="D27" s="4">
        <v>79402.0</v>
      </c>
    </row>
    <row r="28">
      <c r="A28" s="3" t="s">
        <v>19</v>
      </c>
      <c r="B28" s="3" t="s">
        <v>5</v>
      </c>
      <c r="C28" s="4" t="s">
        <v>8</v>
      </c>
      <c r="D28" s="4">
        <v>114749.0</v>
      </c>
    </row>
    <row r="29">
      <c r="A29" s="3" t="s">
        <v>19</v>
      </c>
      <c r="B29" s="3" t="s">
        <v>5</v>
      </c>
      <c r="C29" s="4" t="s">
        <v>9</v>
      </c>
      <c r="D29" s="3">
        <v>5677.0</v>
      </c>
    </row>
    <row r="30">
      <c r="A30" s="3" t="s">
        <v>19</v>
      </c>
      <c r="B30" s="3" t="s">
        <v>5</v>
      </c>
      <c r="C30" s="4" t="s">
        <v>10</v>
      </c>
      <c r="D30" s="4">
        <v>107372.0</v>
      </c>
    </row>
    <row r="31">
      <c r="A31" s="3" t="s">
        <v>19</v>
      </c>
      <c r="B31" s="3" t="s">
        <v>5</v>
      </c>
      <c r="C31" s="4" t="s">
        <v>11</v>
      </c>
      <c r="D31" s="4">
        <v>182483.0</v>
      </c>
    </row>
    <row r="32">
      <c r="A32" s="3" t="s">
        <v>19</v>
      </c>
      <c r="B32" s="3" t="s">
        <v>5</v>
      </c>
      <c r="C32" s="4" t="s">
        <v>17</v>
      </c>
      <c r="D32" s="4">
        <v>123617.0</v>
      </c>
    </row>
    <row r="33">
      <c r="A33" s="3" t="s">
        <v>19</v>
      </c>
      <c r="B33" s="3" t="s">
        <v>5</v>
      </c>
      <c r="C33" s="4" t="s">
        <v>12</v>
      </c>
      <c r="D33" s="4">
        <v>123761.0</v>
      </c>
    </row>
    <row r="34">
      <c r="A34" s="3" t="s">
        <v>19</v>
      </c>
      <c r="B34" s="3" t="s">
        <v>5</v>
      </c>
      <c r="C34" s="4" t="s">
        <v>13</v>
      </c>
      <c r="D34" s="4">
        <v>118502.0</v>
      </c>
    </row>
    <row r="35">
      <c r="A35" s="3" t="s">
        <v>19</v>
      </c>
      <c r="B35" s="3" t="s">
        <v>5</v>
      </c>
      <c r="C35" s="4" t="s">
        <v>16</v>
      </c>
      <c r="D35" s="4">
        <v>56536.0</v>
      </c>
    </row>
    <row r="36">
      <c r="A36" s="3" t="s">
        <v>19</v>
      </c>
      <c r="B36" s="3" t="s">
        <v>5</v>
      </c>
      <c r="C36" s="4" t="s">
        <v>14</v>
      </c>
      <c r="D36" s="4">
        <v>127711.0</v>
      </c>
    </row>
    <row r="37">
      <c r="A37" s="3" t="s">
        <v>19</v>
      </c>
      <c r="B37" s="3" t="s">
        <v>5</v>
      </c>
      <c r="C37" s="4" t="s">
        <v>15</v>
      </c>
      <c r="D37" s="4">
        <v>79946.0</v>
      </c>
    </row>
    <row r="38">
      <c r="A38" s="3" t="s">
        <v>19</v>
      </c>
      <c r="B38" s="3" t="s">
        <v>20</v>
      </c>
      <c r="C38" s="4" t="s">
        <v>6</v>
      </c>
      <c r="D38" s="4">
        <v>50000.0</v>
      </c>
    </row>
    <row r="39">
      <c r="A39" s="3" t="s">
        <v>19</v>
      </c>
      <c r="B39" s="3" t="s">
        <v>20</v>
      </c>
      <c r="C39" s="4" t="s">
        <v>7</v>
      </c>
      <c r="D39" s="4">
        <v>150000.0</v>
      </c>
    </row>
    <row r="40">
      <c r="A40" s="3" t="s">
        <v>19</v>
      </c>
      <c r="B40" s="3" t="s">
        <v>20</v>
      </c>
      <c r="C40" s="4" t="s">
        <v>8</v>
      </c>
      <c r="D40" s="4">
        <v>100000.0</v>
      </c>
    </row>
    <row r="41">
      <c r="A41" s="3" t="s">
        <v>19</v>
      </c>
      <c r="B41" s="3" t="s">
        <v>20</v>
      </c>
      <c r="C41" s="4" t="s">
        <v>9</v>
      </c>
      <c r="D41" s="4">
        <v>150000.0</v>
      </c>
    </row>
    <row r="42">
      <c r="A42" s="3" t="s">
        <v>19</v>
      </c>
      <c r="B42" s="3" t="s">
        <v>20</v>
      </c>
      <c r="C42" s="4" t="s">
        <v>10</v>
      </c>
      <c r="D42" s="4">
        <v>800.0</v>
      </c>
    </row>
    <row r="43">
      <c r="A43" s="3" t="s">
        <v>19</v>
      </c>
      <c r="B43" s="3" t="s">
        <v>20</v>
      </c>
      <c r="C43" s="4" t="s">
        <v>11</v>
      </c>
      <c r="D43" s="4">
        <v>130573.0</v>
      </c>
    </row>
    <row r="44">
      <c r="A44" s="3" t="s">
        <v>19</v>
      </c>
      <c r="B44" s="3" t="s">
        <v>20</v>
      </c>
      <c r="C44" s="4" t="s">
        <v>17</v>
      </c>
      <c r="D44" s="4">
        <v>126920.0</v>
      </c>
    </row>
    <row r="45">
      <c r="A45" s="3" t="s">
        <v>19</v>
      </c>
      <c r="B45" s="3" t="s">
        <v>20</v>
      </c>
      <c r="C45" s="4" t="s">
        <v>12</v>
      </c>
      <c r="D45" s="4">
        <v>433.0</v>
      </c>
    </row>
    <row r="46">
      <c r="A46" s="3" t="s">
        <v>19</v>
      </c>
      <c r="B46" s="3" t="s">
        <v>20</v>
      </c>
      <c r="C46" s="4" t="s">
        <v>13</v>
      </c>
      <c r="D46" s="4">
        <v>2434.0</v>
      </c>
    </row>
    <row r="47">
      <c r="A47" s="3" t="s">
        <v>19</v>
      </c>
      <c r="B47" s="3" t="s">
        <v>20</v>
      </c>
      <c r="C47" s="4" t="s">
        <v>16</v>
      </c>
      <c r="D47" s="4">
        <v>4456.0</v>
      </c>
    </row>
    <row r="48">
      <c r="A48" s="3" t="s">
        <v>19</v>
      </c>
      <c r="B48" s="3" t="s">
        <v>20</v>
      </c>
      <c r="C48" s="4" t="s">
        <v>14</v>
      </c>
      <c r="D48" s="4">
        <v>111915.0</v>
      </c>
    </row>
    <row r="49">
      <c r="A49" s="3" t="s">
        <v>19</v>
      </c>
      <c r="B49" s="3" t="s">
        <v>20</v>
      </c>
      <c r="C49" s="4" t="s">
        <v>15</v>
      </c>
      <c r="D49" s="4">
        <v>132192.0</v>
      </c>
    </row>
    <row r="50">
      <c r="A50" s="3" t="s">
        <v>18</v>
      </c>
      <c r="B50" s="3" t="s">
        <v>20</v>
      </c>
      <c r="C50" s="4" t="s">
        <v>6</v>
      </c>
      <c r="D50" s="4">
        <v>2000.0</v>
      </c>
    </row>
    <row r="51">
      <c r="A51" s="3" t="s">
        <v>18</v>
      </c>
      <c r="B51" s="3" t="s">
        <v>20</v>
      </c>
      <c r="C51" s="4" t="s">
        <v>7</v>
      </c>
      <c r="D51" s="4">
        <v>123931.0</v>
      </c>
    </row>
    <row r="52">
      <c r="A52" s="3" t="s">
        <v>18</v>
      </c>
      <c r="B52" s="3" t="s">
        <v>20</v>
      </c>
      <c r="C52" s="4" t="s">
        <v>8</v>
      </c>
      <c r="D52" s="4">
        <v>555.0</v>
      </c>
    </row>
    <row r="53">
      <c r="A53" s="3" t="s">
        <v>18</v>
      </c>
      <c r="B53" s="3" t="s">
        <v>20</v>
      </c>
      <c r="C53" s="4" t="s">
        <v>9</v>
      </c>
      <c r="D53" s="4">
        <v>5553.0</v>
      </c>
    </row>
    <row r="54">
      <c r="A54" s="3" t="s">
        <v>18</v>
      </c>
      <c r="B54" s="3" t="s">
        <v>20</v>
      </c>
      <c r="C54" s="4" t="s">
        <v>10</v>
      </c>
      <c r="D54" s="4">
        <v>110982.0</v>
      </c>
    </row>
    <row r="55">
      <c r="A55" s="3" t="s">
        <v>18</v>
      </c>
      <c r="B55" s="3" t="s">
        <v>20</v>
      </c>
      <c r="C55" s="4" t="s">
        <v>11</v>
      </c>
      <c r="D55" s="4">
        <v>543.0</v>
      </c>
    </row>
    <row r="56">
      <c r="A56" s="3" t="s">
        <v>18</v>
      </c>
      <c r="B56" s="3" t="s">
        <v>20</v>
      </c>
      <c r="C56" s="4" t="s">
        <v>17</v>
      </c>
      <c r="D56" s="4">
        <v>116234.0</v>
      </c>
    </row>
    <row r="57">
      <c r="A57" s="3" t="s">
        <v>18</v>
      </c>
      <c r="B57" s="3" t="s">
        <v>20</v>
      </c>
      <c r="C57" s="4" t="s">
        <v>12</v>
      </c>
      <c r="D57" s="4">
        <v>119251.0</v>
      </c>
    </row>
    <row r="58">
      <c r="A58" s="3" t="s">
        <v>18</v>
      </c>
      <c r="B58" s="3" t="s">
        <v>20</v>
      </c>
      <c r="C58" s="4" t="s">
        <v>13</v>
      </c>
      <c r="D58" s="4">
        <v>147753.0</v>
      </c>
    </row>
    <row r="59">
      <c r="A59" s="3" t="s">
        <v>18</v>
      </c>
      <c r="B59" s="3" t="s">
        <v>20</v>
      </c>
      <c r="C59" s="4" t="s">
        <v>16</v>
      </c>
      <c r="D59" s="4">
        <v>147122.0</v>
      </c>
    </row>
    <row r="60">
      <c r="A60" s="3" t="s">
        <v>18</v>
      </c>
      <c r="B60" s="3" t="s">
        <v>20</v>
      </c>
      <c r="C60" s="4" t="s">
        <v>14</v>
      </c>
      <c r="D60" s="4">
        <v>1000.0</v>
      </c>
    </row>
    <row r="61">
      <c r="A61" s="3" t="s">
        <v>18</v>
      </c>
      <c r="B61" s="3" t="s">
        <v>20</v>
      </c>
      <c r="C61" s="4" t="s">
        <v>15</v>
      </c>
      <c r="D61" s="4">
        <v>4500.0</v>
      </c>
    </row>
    <row r="62">
      <c r="A62" s="3" t="s">
        <v>4</v>
      </c>
      <c r="B62" s="3" t="s">
        <v>20</v>
      </c>
      <c r="C62" s="4" t="s">
        <v>6</v>
      </c>
      <c r="D62" s="4">
        <v>2342.0</v>
      </c>
    </row>
    <row r="63">
      <c r="A63" s="3" t="s">
        <v>4</v>
      </c>
      <c r="B63" s="3" t="s">
        <v>20</v>
      </c>
      <c r="C63" s="4" t="s">
        <v>7</v>
      </c>
      <c r="D63" s="4">
        <v>125374.0</v>
      </c>
    </row>
    <row r="64">
      <c r="A64" s="3" t="s">
        <v>4</v>
      </c>
      <c r="B64" s="3" t="s">
        <v>20</v>
      </c>
      <c r="C64" s="4" t="s">
        <v>8</v>
      </c>
      <c r="D64" s="4">
        <v>121417.0</v>
      </c>
    </row>
    <row r="65">
      <c r="A65" s="3" t="s">
        <v>4</v>
      </c>
      <c r="B65" s="3" t="s">
        <v>20</v>
      </c>
      <c r="C65" s="4" t="s">
        <v>9</v>
      </c>
      <c r="D65" s="4">
        <v>109093.0</v>
      </c>
    </row>
    <row r="66">
      <c r="A66" s="3" t="s">
        <v>4</v>
      </c>
      <c r="B66" s="3" t="s">
        <v>20</v>
      </c>
      <c r="C66" s="4" t="s">
        <v>10</v>
      </c>
      <c r="D66" s="4">
        <v>3000.0</v>
      </c>
    </row>
    <row r="67">
      <c r="A67" s="3" t="s">
        <v>4</v>
      </c>
      <c r="B67" s="3" t="s">
        <v>20</v>
      </c>
      <c r="C67" s="4" t="s">
        <v>11</v>
      </c>
      <c r="D67" s="4">
        <v>3211.0</v>
      </c>
    </row>
    <row r="68">
      <c r="A68" s="3" t="s">
        <v>4</v>
      </c>
      <c r="B68" s="3" t="s">
        <v>20</v>
      </c>
      <c r="C68" s="4" t="s">
        <v>17</v>
      </c>
      <c r="D68" s="4">
        <v>142031.0</v>
      </c>
    </row>
    <row r="69">
      <c r="A69" s="3" t="s">
        <v>4</v>
      </c>
      <c r="B69" s="3" t="s">
        <v>20</v>
      </c>
      <c r="C69" s="4" t="s">
        <v>12</v>
      </c>
      <c r="D69" s="4">
        <v>107797.0</v>
      </c>
    </row>
    <row r="70">
      <c r="A70" s="3" t="s">
        <v>4</v>
      </c>
      <c r="B70" s="3" t="s">
        <v>20</v>
      </c>
      <c r="C70" s="4" t="s">
        <v>13</v>
      </c>
      <c r="D70" s="4">
        <v>3211.0</v>
      </c>
    </row>
    <row r="71">
      <c r="A71" s="3" t="s">
        <v>4</v>
      </c>
      <c r="B71" s="3" t="s">
        <v>20</v>
      </c>
      <c r="C71" s="4" t="s">
        <v>16</v>
      </c>
      <c r="D71" s="4">
        <v>132510.0</v>
      </c>
    </row>
    <row r="72">
      <c r="A72" s="3" t="s">
        <v>4</v>
      </c>
      <c r="B72" s="3" t="s">
        <v>20</v>
      </c>
      <c r="C72" s="4" t="s">
        <v>14</v>
      </c>
      <c r="D72" s="4">
        <v>654.0</v>
      </c>
    </row>
    <row r="73">
      <c r="A73" s="3" t="s">
        <v>4</v>
      </c>
      <c r="B73" s="3" t="s">
        <v>20</v>
      </c>
      <c r="C73" s="4" t="s">
        <v>15</v>
      </c>
      <c r="D73" s="4">
        <v>4556.0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13"/>
    <col customWidth="1" min="3" max="3" width="16.38"/>
    <col customWidth="1" min="4" max="4" width="15.75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21</v>
      </c>
    </row>
    <row r="2">
      <c r="A2" s="3" t="s">
        <v>4</v>
      </c>
      <c r="B2" s="3" t="s">
        <v>5</v>
      </c>
      <c r="C2" s="4" t="s">
        <v>6</v>
      </c>
      <c r="D2" s="4">
        <v>199617.0</v>
      </c>
      <c r="E2" s="5">
        <f>sumifs('Transaction data'!$C$2:$C$83,'Transaction data'!$H$2:$H$83,$A2,'Transaction data'!$K$2:$K$83,$B2,'Transaction data'!$J$2:$J$83,$C2)</f>
        <v>170000</v>
      </c>
    </row>
    <row r="3">
      <c r="A3" s="3" t="s">
        <v>4</v>
      </c>
      <c r="B3" s="3" t="s">
        <v>5</v>
      </c>
      <c r="C3" s="4" t="s">
        <v>7</v>
      </c>
      <c r="D3" s="4">
        <v>128040.0</v>
      </c>
      <c r="E3" s="5">
        <f>sumifs('Transaction data'!$C$2:$C$83,'Transaction data'!$H$2:$H$83,$A3,'Transaction data'!$K$2:$K$83,$B3,'Transaction data'!$J$2:$J$83,$C3)</f>
        <v>96000</v>
      </c>
    </row>
    <row r="4">
      <c r="A4" s="3" t="s">
        <v>4</v>
      </c>
      <c r="B4" s="3" t="s">
        <v>5</v>
      </c>
      <c r="C4" s="4" t="s">
        <v>8</v>
      </c>
      <c r="D4" s="4">
        <v>178701.0</v>
      </c>
      <c r="E4" s="5">
        <f>sumifs('Transaction data'!$C$2:$C$83,'Transaction data'!$H$2:$H$83,$A4,'Transaction data'!$K$2:$K$83,$B4,'Transaction data'!$J$2:$J$83,$C4)</f>
        <v>244500</v>
      </c>
    </row>
    <row r="5">
      <c r="A5" s="3" t="s">
        <v>4</v>
      </c>
      <c r="B5" s="3" t="s">
        <v>5</v>
      </c>
      <c r="C5" s="4" t="s">
        <v>9</v>
      </c>
      <c r="D5" s="4">
        <v>70633.0</v>
      </c>
      <c r="E5" s="5">
        <f>sumifs('Transaction data'!$C$2:$C$83,'Transaction data'!$H$2:$H$83,$A5,'Transaction data'!$K$2:$K$83,$B5,'Transaction data'!$J$2:$J$83,$C5)</f>
        <v>272900</v>
      </c>
    </row>
    <row r="6">
      <c r="A6" s="3" t="s">
        <v>4</v>
      </c>
      <c r="B6" s="3" t="s">
        <v>5</v>
      </c>
      <c r="C6" s="4" t="s">
        <v>10</v>
      </c>
      <c r="D6" s="4">
        <v>166047.0</v>
      </c>
      <c r="E6" s="5">
        <f>sumifs('Transaction data'!$C$2:$C$83,'Transaction data'!$H$2:$H$83,$A6,'Transaction data'!$K$2:$K$83,$B6,'Transaction data'!$J$2:$J$83,$C6)</f>
        <v>334025</v>
      </c>
    </row>
    <row r="7">
      <c r="A7" s="3" t="s">
        <v>4</v>
      </c>
      <c r="B7" s="3" t="s">
        <v>5</v>
      </c>
      <c r="C7" s="4" t="s">
        <v>11</v>
      </c>
      <c r="D7" s="4">
        <v>144977.0</v>
      </c>
      <c r="E7" s="5">
        <f>sumifs('Transaction data'!$C$2:$C$83,'Transaction data'!$H$2:$H$83,$A7,'Transaction data'!$K$2:$K$83,$B7,'Transaction data'!$J$2:$J$83,$C7)</f>
        <v>273355</v>
      </c>
    </row>
    <row r="8">
      <c r="A8" s="3" t="s">
        <v>4</v>
      </c>
      <c r="B8" s="3" t="s">
        <v>5</v>
      </c>
      <c r="C8" s="4" t="s">
        <v>12</v>
      </c>
      <c r="D8" s="4">
        <v>169559.0</v>
      </c>
      <c r="E8" s="5">
        <f>sumifs('Transaction data'!$C$2:$C$83,'Transaction data'!$H$2:$H$83,$A8,'Transaction data'!$K$2:$K$83,$B8,'Transaction data'!$J$2:$J$83,$C8)</f>
        <v>75350</v>
      </c>
    </row>
    <row r="9">
      <c r="A9" s="3" t="s">
        <v>4</v>
      </c>
      <c r="B9" s="3" t="s">
        <v>5</v>
      </c>
      <c r="C9" s="4" t="s">
        <v>13</v>
      </c>
      <c r="D9" s="4">
        <v>127808.0</v>
      </c>
      <c r="E9" s="5">
        <f>sumifs('Transaction data'!$C$2:$C$83,'Transaction data'!$H$2:$H$83,$A9,'Transaction data'!$K$2:$K$83,$B9,'Transaction data'!$J$2:$J$83,$C9)</f>
        <v>173437</v>
      </c>
    </row>
    <row r="10">
      <c r="A10" s="3" t="s">
        <v>4</v>
      </c>
      <c r="B10" s="3" t="s">
        <v>5</v>
      </c>
      <c r="C10" s="4" t="s">
        <v>14</v>
      </c>
      <c r="D10" s="4">
        <v>107011.0</v>
      </c>
      <c r="E10" s="5">
        <f>sumifs('Transaction data'!$C$2:$C$83,'Transaction data'!$H$2:$H$83,$A10,'Transaction data'!$K$2:$K$83,$B10,'Transaction data'!$J$2:$J$83,$C10)</f>
        <v>58450</v>
      </c>
    </row>
    <row r="11">
      <c r="A11" s="3" t="s">
        <v>4</v>
      </c>
      <c r="B11" s="3" t="s">
        <v>5</v>
      </c>
      <c r="C11" s="4" t="s">
        <v>15</v>
      </c>
      <c r="D11" s="4">
        <v>65308.0</v>
      </c>
      <c r="E11" s="5">
        <f>sumifs('Transaction data'!$C$2:$C$83,'Transaction data'!$H$2:$H$83,$A11,'Transaction data'!$K$2:$K$83,$B11,'Transaction data'!$J$2:$J$83,$C11)</f>
        <v>121550</v>
      </c>
    </row>
    <row r="12">
      <c r="A12" s="3" t="s">
        <v>4</v>
      </c>
      <c r="B12" s="3" t="s">
        <v>5</v>
      </c>
      <c r="C12" s="4" t="s">
        <v>16</v>
      </c>
      <c r="D12" s="3">
        <v>30000.0</v>
      </c>
      <c r="E12" s="5">
        <f>sumifs('Transaction data'!$C$2:$C$83,'Transaction data'!$H$2:$H$83,$A12,'Transaction data'!$K$2:$K$83,$B12,'Transaction data'!$J$2:$J$83,$C12)</f>
        <v>37809</v>
      </c>
    </row>
    <row r="13">
      <c r="A13" s="3" t="s">
        <v>4</v>
      </c>
      <c r="B13" s="3" t="s">
        <v>5</v>
      </c>
      <c r="C13" s="4" t="s">
        <v>17</v>
      </c>
      <c r="D13" s="3">
        <v>50000.0</v>
      </c>
      <c r="E13" s="5">
        <f>sumifs('Transaction data'!$C$2:$C$83,'Transaction data'!$H$2:$H$83,$A13,'Transaction data'!$K$2:$K$83,$B13,'Transaction data'!$J$2:$J$83,$C13)</f>
        <v>238802</v>
      </c>
    </row>
    <row r="14">
      <c r="A14" s="3" t="s">
        <v>18</v>
      </c>
      <c r="B14" s="3" t="s">
        <v>5</v>
      </c>
      <c r="C14" s="4" t="s">
        <v>6</v>
      </c>
      <c r="D14" s="4">
        <v>150348.0</v>
      </c>
      <c r="E14" s="5">
        <f>sumifs('Transaction data'!$C$2:$C$83,'Transaction data'!$H$2:$H$83,$A14,'Transaction data'!$K$2:$K$83,$B14,'Transaction data'!$J$2:$J$83,$C14)</f>
        <v>76800</v>
      </c>
    </row>
    <row r="15">
      <c r="A15" s="3" t="s">
        <v>18</v>
      </c>
      <c r="B15" s="3" t="s">
        <v>5</v>
      </c>
      <c r="C15" s="4" t="s">
        <v>7</v>
      </c>
      <c r="D15" s="4">
        <v>84695.0</v>
      </c>
      <c r="E15" s="5">
        <f>sumifs('Transaction data'!$C$2:$C$83,'Transaction data'!$H$2:$H$83,$A15,'Transaction data'!$K$2:$K$83,$B15,'Transaction data'!$J$2:$J$83,$C15)</f>
        <v>56000</v>
      </c>
    </row>
    <row r="16">
      <c r="A16" s="3" t="s">
        <v>18</v>
      </c>
      <c r="B16" s="3" t="s">
        <v>5</v>
      </c>
      <c r="C16" s="4" t="s">
        <v>8</v>
      </c>
      <c r="D16" s="4">
        <v>167724.0</v>
      </c>
      <c r="E16" s="5">
        <f>sumifs('Transaction data'!$C$2:$C$83,'Transaction data'!$H$2:$H$83,$A16,'Transaction data'!$K$2:$K$83,$B16,'Transaction data'!$J$2:$J$83,$C16)</f>
        <v>263351</v>
      </c>
    </row>
    <row r="17">
      <c r="A17" s="3" t="s">
        <v>18</v>
      </c>
      <c r="B17" s="3" t="s">
        <v>5</v>
      </c>
      <c r="C17" s="4" t="s">
        <v>9</v>
      </c>
      <c r="D17" s="4">
        <v>198331.0</v>
      </c>
      <c r="E17" s="5">
        <f>sumifs('Transaction data'!$C$2:$C$83,'Transaction data'!$H$2:$H$83,$A17,'Transaction data'!$K$2:$K$83,$B17,'Transaction data'!$J$2:$J$83,$C17)</f>
        <v>265232</v>
      </c>
    </row>
    <row r="18">
      <c r="A18" s="3" t="s">
        <v>18</v>
      </c>
      <c r="B18" s="3" t="s">
        <v>5</v>
      </c>
      <c r="C18" s="4" t="s">
        <v>10</v>
      </c>
      <c r="D18" s="3">
        <v>765.0</v>
      </c>
      <c r="E18" s="5">
        <f>sumifs('Transaction data'!$C$2:$C$83,'Transaction data'!$H$2:$H$83,$A18,'Transaction data'!$K$2:$K$83,$B18,'Transaction data'!$J$2:$J$83,$C18)</f>
        <v>0</v>
      </c>
    </row>
    <row r="19">
      <c r="A19" s="3" t="s">
        <v>18</v>
      </c>
      <c r="B19" s="3" t="s">
        <v>5</v>
      </c>
      <c r="C19" s="4" t="s">
        <v>11</v>
      </c>
      <c r="D19" s="4">
        <v>107563.0</v>
      </c>
      <c r="E19" s="5">
        <f>sumifs('Transaction data'!$C$2:$C$83,'Transaction data'!$H$2:$H$83,$A19,'Transaction data'!$K$2:$K$83,$B19,'Transaction data'!$J$2:$J$83,$C19)</f>
        <v>137842</v>
      </c>
    </row>
    <row r="20">
      <c r="A20" s="3" t="s">
        <v>18</v>
      </c>
      <c r="B20" s="3" t="s">
        <v>5</v>
      </c>
      <c r="C20" s="4" t="s">
        <v>17</v>
      </c>
      <c r="D20" s="4">
        <v>138355.0</v>
      </c>
      <c r="E20" s="5">
        <f>sumifs('Transaction data'!$C$2:$C$83,'Transaction data'!$H$2:$H$83,$A20,'Transaction data'!$K$2:$K$83,$B20,'Transaction data'!$J$2:$J$83,$C20)</f>
        <v>94485</v>
      </c>
    </row>
    <row r="21">
      <c r="A21" s="3" t="s">
        <v>18</v>
      </c>
      <c r="B21" s="3" t="s">
        <v>5</v>
      </c>
      <c r="C21" s="4" t="s">
        <v>12</v>
      </c>
      <c r="D21" s="4">
        <v>130712.0</v>
      </c>
      <c r="E21" s="5">
        <f>sumifs('Transaction data'!$C$2:$C$83,'Transaction data'!$H$2:$H$83,$A21,'Transaction data'!$K$2:$K$83,$B21,'Transaction data'!$J$2:$J$83,$C21)</f>
        <v>150799</v>
      </c>
    </row>
    <row r="22">
      <c r="A22" s="3" t="s">
        <v>18</v>
      </c>
      <c r="B22" s="3" t="s">
        <v>5</v>
      </c>
      <c r="C22" s="4" t="s">
        <v>13</v>
      </c>
      <c r="D22" s="4">
        <v>161328.0</v>
      </c>
      <c r="E22" s="5">
        <f>sumifs('Transaction data'!$C$2:$C$83,'Transaction data'!$H$2:$H$83,$A22,'Transaction data'!$K$2:$K$83,$B22,'Transaction data'!$J$2:$J$83,$C22)</f>
        <v>56314</v>
      </c>
    </row>
    <row r="23">
      <c r="A23" s="3" t="s">
        <v>18</v>
      </c>
      <c r="B23" s="3" t="s">
        <v>5</v>
      </c>
      <c r="C23" s="4" t="s">
        <v>16</v>
      </c>
      <c r="D23" s="4">
        <v>62680.0</v>
      </c>
      <c r="E23" s="5">
        <f>sumifs('Transaction data'!$C$2:$C$83,'Transaction data'!$H$2:$H$83,$A23,'Transaction data'!$K$2:$K$83,$B23,'Transaction data'!$J$2:$J$83,$C23)</f>
        <v>53771</v>
      </c>
    </row>
    <row r="24">
      <c r="A24" s="3" t="s">
        <v>18</v>
      </c>
      <c r="B24" s="3" t="s">
        <v>5</v>
      </c>
      <c r="C24" s="4" t="s">
        <v>14</v>
      </c>
      <c r="D24" s="4">
        <v>93218.0</v>
      </c>
      <c r="E24" s="5">
        <f>sumifs('Transaction data'!$C$2:$C$83,'Transaction data'!$H$2:$H$83,$A24,'Transaction data'!$K$2:$K$83,$B24,'Transaction data'!$J$2:$J$83,$C24)</f>
        <v>151771</v>
      </c>
    </row>
    <row r="25">
      <c r="A25" s="3" t="s">
        <v>18</v>
      </c>
      <c r="B25" s="3" t="s">
        <v>5</v>
      </c>
      <c r="C25" s="4" t="s">
        <v>15</v>
      </c>
      <c r="D25" s="4">
        <v>146002.0</v>
      </c>
      <c r="E25" s="5">
        <f>sumifs('Transaction data'!$C$2:$C$83,'Transaction data'!$H$2:$H$83,$A25,'Transaction data'!$K$2:$K$83,$B25,'Transaction data'!$J$2:$J$83,$C25)</f>
        <v>72000</v>
      </c>
    </row>
    <row r="26">
      <c r="A26" s="3" t="s">
        <v>19</v>
      </c>
      <c r="B26" s="3" t="s">
        <v>5</v>
      </c>
      <c r="C26" s="4" t="s">
        <v>6</v>
      </c>
      <c r="D26" s="4">
        <v>152419.0</v>
      </c>
      <c r="E26" s="5">
        <f>sumifs('Transaction data'!$C$2:$C$83,'Transaction data'!$H$2:$H$83,$A26,'Transaction data'!$K$2:$K$83,$B26,'Transaction data'!$J$2:$J$83,$C26)</f>
        <v>168000</v>
      </c>
    </row>
    <row r="27">
      <c r="A27" s="3" t="s">
        <v>19</v>
      </c>
      <c r="B27" s="3" t="s">
        <v>5</v>
      </c>
      <c r="C27" s="4" t="s">
        <v>7</v>
      </c>
      <c r="D27" s="4">
        <v>79402.0</v>
      </c>
      <c r="E27" s="5">
        <f>sumifs('Transaction data'!$C$2:$C$83,'Transaction data'!$H$2:$H$83,$A27,'Transaction data'!$K$2:$K$83,$B27,'Transaction data'!$J$2:$J$83,$C27)</f>
        <v>158500</v>
      </c>
    </row>
    <row r="28">
      <c r="A28" s="3" t="s">
        <v>19</v>
      </c>
      <c r="B28" s="3" t="s">
        <v>5</v>
      </c>
      <c r="C28" s="4" t="s">
        <v>8</v>
      </c>
      <c r="D28" s="4">
        <v>114749.0</v>
      </c>
      <c r="E28" s="5">
        <f>sumifs('Transaction data'!$C$2:$C$83,'Transaction data'!$H$2:$H$83,$A28,'Transaction data'!$K$2:$K$83,$B28,'Transaction data'!$J$2:$J$83,$C28)</f>
        <v>299900</v>
      </c>
    </row>
    <row r="29">
      <c r="A29" s="3" t="s">
        <v>19</v>
      </c>
      <c r="B29" s="3" t="s">
        <v>5</v>
      </c>
      <c r="C29" s="4" t="s">
        <v>9</v>
      </c>
      <c r="D29" s="3">
        <v>5677.0</v>
      </c>
      <c r="E29" s="5">
        <f>sumifs('Transaction data'!$C$2:$C$83,'Transaction data'!$H$2:$H$83,$A29,'Transaction data'!$K$2:$K$83,$B29,'Transaction data'!$J$2:$J$83,$C29)</f>
        <v>0</v>
      </c>
    </row>
    <row r="30">
      <c r="A30" s="3" t="s">
        <v>19</v>
      </c>
      <c r="B30" s="3" t="s">
        <v>5</v>
      </c>
      <c r="C30" s="4" t="s">
        <v>10</v>
      </c>
      <c r="D30" s="4">
        <v>107372.0</v>
      </c>
      <c r="E30" s="5">
        <f>sumifs('Transaction data'!$C$2:$C$83,'Transaction data'!$H$2:$H$83,$A30,'Transaction data'!$K$2:$K$83,$B30,'Transaction data'!$J$2:$J$83,$C30)</f>
        <v>162000</v>
      </c>
    </row>
    <row r="31">
      <c r="A31" s="3" t="s">
        <v>19</v>
      </c>
      <c r="B31" s="3" t="s">
        <v>5</v>
      </c>
      <c r="C31" s="4" t="s">
        <v>11</v>
      </c>
      <c r="D31" s="4">
        <v>182483.0</v>
      </c>
      <c r="E31" s="5">
        <f>sumifs('Transaction data'!$C$2:$C$83,'Transaction data'!$H$2:$H$83,$A31,'Transaction data'!$K$2:$K$83,$B31,'Transaction data'!$J$2:$J$83,$C31)</f>
        <v>114255</v>
      </c>
    </row>
    <row r="32">
      <c r="A32" s="3" t="s">
        <v>19</v>
      </c>
      <c r="B32" s="3" t="s">
        <v>5</v>
      </c>
      <c r="C32" s="4" t="s">
        <v>17</v>
      </c>
      <c r="D32" s="4">
        <v>123617.0</v>
      </c>
      <c r="E32" s="5">
        <f>sumifs('Transaction data'!$C$2:$C$83,'Transaction data'!$H$2:$H$83,$A32,'Transaction data'!$K$2:$K$83,$B32,'Transaction data'!$J$2:$J$83,$C32)</f>
        <v>52350</v>
      </c>
    </row>
    <row r="33">
      <c r="A33" s="3" t="s">
        <v>19</v>
      </c>
      <c r="B33" s="3" t="s">
        <v>5</v>
      </c>
      <c r="C33" s="4" t="s">
        <v>12</v>
      </c>
      <c r="D33" s="4">
        <v>123761.0</v>
      </c>
      <c r="E33" s="5">
        <f>sumifs('Transaction data'!$C$2:$C$83,'Transaction data'!$H$2:$H$83,$A33,'Transaction data'!$K$2:$K$83,$B33,'Transaction data'!$J$2:$J$83,$C33)</f>
        <v>130802</v>
      </c>
    </row>
    <row r="34">
      <c r="A34" s="3" t="s">
        <v>19</v>
      </c>
      <c r="B34" s="3" t="s">
        <v>5</v>
      </c>
      <c r="C34" s="4" t="s">
        <v>13</v>
      </c>
      <c r="D34" s="4">
        <v>118502.0</v>
      </c>
      <c r="E34" s="5">
        <f>sumifs('Transaction data'!$C$2:$C$83,'Transaction data'!$H$2:$H$83,$A34,'Transaction data'!$K$2:$K$83,$B34,'Transaction data'!$J$2:$J$83,$C34)</f>
        <v>30663</v>
      </c>
    </row>
    <row r="35">
      <c r="A35" s="3" t="s">
        <v>19</v>
      </c>
      <c r="B35" s="3" t="s">
        <v>5</v>
      </c>
      <c r="C35" s="4" t="s">
        <v>16</v>
      </c>
      <c r="D35" s="4">
        <v>56536.0</v>
      </c>
      <c r="E35" s="5">
        <f>sumifs('Transaction data'!$C$2:$C$83,'Transaction data'!$H$2:$H$83,$A35,'Transaction data'!$K$2:$K$83,$B35,'Transaction data'!$J$2:$J$83,$C35)</f>
        <v>108537</v>
      </c>
    </row>
    <row r="36">
      <c r="A36" s="3" t="s">
        <v>19</v>
      </c>
      <c r="B36" s="3" t="s">
        <v>5</v>
      </c>
      <c r="C36" s="4" t="s">
        <v>14</v>
      </c>
      <c r="D36" s="4">
        <v>127711.0</v>
      </c>
      <c r="E36" s="5">
        <f>sumifs('Transaction data'!$C$2:$C$83,'Transaction data'!$H$2:$H$83,$A36,'Transaction data'!$K$2:$K$83,$B36,'Transaction data'!$J$2:$J$83,$C36)</f>
        <v>0</v>
      </c>
    </row>
    <row r="37">
      <c r="A37" s="3" t="s">
        <v>19</v>
      </c>
      <c r="B37" s="3" t="s">
        <v>5</v>
      </c>
      <c r="C37" s="4" t="s">
        <v>15</v>
      </c>
      <c r="D37" s="4">
        <v>79946.0</v>
      </c>
      <c r="E37" s="5">
        <f>sumifs('Transaction data'!$C$2:$C$83,'Transaction data'!$H$2:$H$83,$A37,'Transaction data'!$K$2:$K$83,$B37,'Transaction data'!$J$2:$J$83,$C37)</f>
        <v>98000</v>
      </c>
    </row>
    <row r="38">
      <c r="A38" s="3" t="s">
        <v>19</v>
      </c>
      <c r="B38" s="3" t="s">
        <v>20</v>
      </c>
      <c r="C38" s="4" t="s">
        <v>6</v>
      </c>
      <c r="D38" s="4">
        <v>50000.0</v>
      </c>
      <c r="E38" s="5">
        <f>sumifs('Transaction data'!$C$2:$C$83,'Transaction data'!$H$2:$H$83,$A38,'Transaction data'!$K$2:$K$83,$B38,'Transaction data'!$J$2:$J$83,$C38)</f>
        <v>196000</v>
      </c>
    </row>
    <row r="39">
      <c r="A39" s="3" t="s">
        <v>19</v>
      </c>
      <c r="B39" s="3" t="s">
        <v>20</v>
      </c>
      <c r="C39" s="4" t="s">
        <v>7</v>
      </c>
      <c r="D39" s="4">
        <v>150000.0</v>
      </c>
      <c r="E39" s="5">
        <f>sumifs('Transaction data'!$C$2:$C$83,'Transaction data'!$H$2:$H$83,$A39,'Transaction data'!$K$2:$K$83,$B39,'Transaction data'!$J$2:$J$83,$C39)</f>
        <v>81000</v>
      </c>
    </row>
    <row r="40">
      <c r="A40" s="3" t="s">
        <v>19</v>
      </c>
      <c r="B40" s="3" t="s">
        <v>20</v>
      </c>
      <c r="C40" s="4" t="s">
        <v>8</v>
      </c>
      <c r="D40" s="4">
        <v>100000.0</v>
      </c>
      <c r="E40" s="5">
        <f>sumifs('Transaction data'!$C$2:$C$83,'Transaction data'!$H$2:$H$83,$A40,'Transaction data'!$K$2:$K$83,$B40,'Transaction data'!$J$2:$J$83,$C40)</f>
        <v>170000</v>
      </c>
    </row>
    <row r="41">
      <c r="A41" s="3" t="s">
        <v>19</v>
      </c>
      <c r="B41" s="3" t="s">
        <v>20</v>
      </c>
      <c r="C41" s="4" t="s">
        <v>9</v>
      </c>
      <c r="D41" s="4">
        <v>150000.0</v>
      </c>
      <c r="E41" s="5">
        <f>sumifs('Transaction data'!$C$2:$C$83,'Transaction data'!$H$2:$H$83,$A41,'Transaction data'!$K$2:$K$83,$B41,'Transaction data'!$J$2:$J$83,$C41)</f>
        <v>109870</v>
      </c>
    </row>
    <row r="42">
      <c r="A42" s="3" t="s">
        <v>19</v>
      </c>
      <c r="B42" s="3" t="s">
        <v>20</v>
      </c>
      <c r="C42" s="4" t="s">
        <v>10</v>
      </c>
      <c r="D42" s="4">
        <v>800.0</v>
      </c>
      <c r="E42" s="5">
        <f>sumifs('Transaction data'!$C$2:$C$83,'Transaction data'!$H$2:$H$83,$A42,'Transaction data'!$K$2:$K$83,$B42,'Transaction data'!$J$2:$J$83,$C42)</f>
        <v>0</v>
      </c>
    </row>
    <row r="43">
      <c r="A43" s="3" t="s">
        <v>19</v>
      </c>
      <c r="B43" s="3" t="s">
        <v>20</v>
      </c>
      <c r="C43" s="4" t="s">
        <v>11</v>
      </c>
      <c r="D43" s="4">
        <v>130573.0</v>
      </c>
      <c r="E43" s="5">
        <f>sumifs('Transaction data'!$C$2:$C$83,'Transaction data'!$H$2:$H$83,$A43,'Transaction data'!$K$2:$K$83,$B43,'Transaction data'!$J$2:$J$83,$C43)</f>
        <v>50000</v>
      </c>
    </row>
    <row r="44">
      <c r="A44" s="3" t="s">
        <v>19</v>
      </c>
      <c r="B44" s="3" t="s">
        <v>20</v>
      </c>
      <c r="C44" s="4" t="s">
        <v>17</v>
      </c>
      <c r="D44" s="4">
        <v>126920.0</v>
      </c>
      <c r="E44" s="5">
        <f>sumifs('Transaction data'!$C$2:$C$83,'Transaction data'!$H$2:$H$83,$A44,'Transaction data'!$K$2:$K$83,$B44,'Transaction data'!$J$2:$J$83,$C44)</f>
        <v>141485</v>
      </c>
    </row>
    <row r="45">
      <c r="A45" s="3" t="s">
        <v>19</v>
      </c>
      <c r="B45" s="3" t="s">
        <v>20</v>
      </c>
      <c r="C45" s="4" t="s">
        <v>12</v>
      </c>
      <c r="D45" s="4">
        <v>433.0</v>
      </c>
      <c r="E45" s="5">
        <f>sumifs('Transaction data'!$C$2:$C$83,'Transaction data'!$H$2:$H$83,$A45,'Transaction data'!$K$2:$K$83,$B45,'Transaction data'!$J$2:$J$83,$C45)</f>
        <v>0</v>
      </c>
    </row>
    <row r="46">
      <c r="A46" s="3" t="s">
        <v>19</v>
      </c>
      <c r="B46" s="3" t="s">
        <v>20</v>
      </c>
      <c r="C46" s="4" t="s">
        <v>13</v>
      </c>
      <c r="D46" s="4">
        <v>2434.0</v>
      </c>
      <c r="E46" s="5">
        <f>sumifs('Transaction data'!$C$2:$C$83,'Transaction data'!$H$2:$H$83,$A46,'Transaction data'!$K$2:$K$83,$B46,'Transaction data'!$J$2:$J$83,$C46)</f>
        <v>0</v>
      </c>
    </row>
    <row r="47">
      <c r="A47" s="3" t="s">
        <v>19</v>
      </c>
      <c r="B47" s="3" t="s">
        <v>20</v>
      </c>
      <c r="C47" s="4" t="s">
        <v>16</v>
      </c>
      <c r="D47" s="4">
        <v>4456.0</v>
      </c>
      <c r="E47" s="5">
        <f>sumifs('Transaction data'!$C$2:$C$83,'Transaction data'!$H$2:$H$83,$A47,'Transaction data'!$K$2:$K$83,$B47,'Transaction data'!$J$2:$J$83,$C47)</f>
        <v>0</v>
      </c>
    </row>
    <row r="48">
      <c r="A48" s="3" t="s">
        <v>19</v>
      </c>
      <c r="B48" s="3" t="s">
        <v>20</v>
      </c>
      <c r="C48" s="4" t="s">
        <v>14</v>
      </c>
      <c r="D48" s="4">
        <v>111915.0</v>
      </c>
      <c r="E48" s="5">
        <f>sumifs('Transaction data'!$C$2:$C$83,'Transaction data'!$H$2:$H$83,$A48,'Transaction data'!$K$2:$K$83,$B48,'Transaction data'!$J$2:$J$83,$C48)</f>
        <v>25259</v>
      </c>
    </row>
    <row r="49">
      <c r="A49" s="3" t="s">
        <v>19</v>
      </c>
      <c r="B49" s="3" t="s">
        <v>20</v>
      </c>
      <c r="C49" s="4" t="s">
        <v>15</v>
      </c>
      <c r="D49" s="4">
        <v>132192.0</v>
      </c>
      <c r="E49" s="5">
        <f>sumifs('Transaction data'!$C$2:$C$83,'Transaction data'!$H$2:$H$83,$A49,'Transaction data'!$K$2:$K$83,$B49,'Transaction data'!$J$2:$J$83,$C49)</f>
        <v>900</v>
      </c>
    </row>
    <row r="50">
      <c r="A50" s="3" t="s">
        <v>18</v>
      </c>
      <c r="B50" s="3" t="s">
        <v>20</v>
      </c>
      <c r="C50" s="4" t="s">
        <v>6</v>
      </c>
      <c r="D50" s="4">
        <v>2000.0</v>
      </c>
      <c r="E50" s="5">
        <f>sumifs('Transaction data'!$C$2:$C$83,'Transaction data'!$H$2:$H$83,$A50,'Transaction data'!$K$2:$K$83,$B50,'Transaction data'!$J$2:$J$83,$C50)</f>
        <v>0</v>
      </c>
    </row>
    <row r="51">
      <c r="A51" s="3" t="s">
        <v>18</v>
      </c>
      <c r="B51" s="3" t="s">
        <v>20</v>
      </c>
      <c r="C51" s="4" t="s">
        <v>7</v>
      </c>
      <c r="D51" s="4">
        <v>123931.0</v>
      </c>
      <c r="E51" s="5">
        <f>sumifs('Transaction data'!$C$2:$C$83,'Transaction data'!$H$2:$H$83,$A51,'Transaction data'!$K$2:$K$83,$B51,'Transaction data'!$J$2:$J$83,$C51)</f>
        <v>125346</v>
      </c>
    </row>
    <row r="52">
      <c r="A52" s="3" t="s">
        <v>18</v>
      </c>
      <c r="B52" s="3" t="s">
        <v>20</v>
      </c>
      <c r="C52" s="4" t="s">
        <v>8</v>
      </c>
      <c r="D52" s="4">
        <v>555.0</v>
      </c>
      <c r="E52" s="5">
        <f>sumifs('Transaction data'!$C$2:$C$83,'Transaction data'!$H$2:$H$83,$A52,'Transaction data'!$K$2:$K$83,$B52,'Transaction data'!$J$2:$J$83,$C52)</f>
        <v>0</v>
      </c>
    </row>
    <row r="53">
      <c r="A53" s="3" t="s">
        <v>18</v>
      </c>
      <c r="B53" s="3" t="s">
        <v>20</v>
      </c>
      <c r="C53" s="4" t="s">
        <v>9</v>
      </c>
      <c r="D53" s="4">
        <v>5553.0</v>
      </c>
      <c r="E53" s="5">
        <f>sumifs('Transaction data'!$C$2:$C$83,'Transaction data'!$H$2:$H$83,$A53,'Transaction data'!$K$2:$K$83,$B53,'Transaction data'!$J$2:$J$83,$C53)</f>
        <v>0</v>
      </c>
    </row>
    <row r="54">
      <c r="A54" s="3" t="s">
        <v>18</v>
      </c>
      <c r="B54" s="3" t="s">
        <v>20</v>
      </c>
      <c r="C54" s="4" t="s">
        <v>10</v>
      </c>
      <c r="D54" s="4">
        <v>110982.0</v>
      </c>
      <c r="E54" s="5">
        <f>sumifs('Transaction data'!$C$2:$C$83,'Transaction data'!$H$2:$H$83,$A54,'Transaction data'!$K$2:$K$83,$B54,'Transaction data'!$J$2:$J$83,$C54)</f>
        <v>141760</v>
      </c>
    </row>
    <row r="55">
      <c r="A55" s="3" t="s">
        <v>18</v>
      </c>
      <c r="B55" s="3" t="s">
        <v>20</v>
      </c>
      <c r="C55" s="4" t="s">
        <v>11</v>
      </c>
      <c r="D55" s="4">
        <v>543.0</v>
      </c>
      <c r="E55" s="5">
        <f>sumifs('Transaction data'!$C$2:$C$83,'Transaction data'!$H$2:$H$83,$A55,'Transaction data'!$K$2:$K$83,$B55,'Transaction data'!$J$2:$J$83,$C55)</f>
        <v>0</v>
      </c>
    </row>
    <row r="56">
      <c r="A56" s="3" t="s">
        <v>18</v>
      </c>
      <c r="B56" s="3" t="s">
        <v>20</v>
      </c>
      <c r="C56" s="4" t="s">
        <v>17</v>
      </c>
      <c r="D56" s="4">
        <v>116234.0</v>
      </c>
      <c r="E56" s="5">
        <f>sumifs('Transaction data'!$C$2:$C$83,'Transaction data'!$H$2:$H$83,$A56,'Transaction data'!$K$2:$K$83,$B56,'Transaction data'!$J$2:$J$83,$C56)</f>
        <v>123309</v>
      </c>
    </row>
    <row r="57">
      <c r="A57" s="3" t="s">
        <v>18</v>
      </c>
      <c r="B57" s="3" t="s">
        <v>20</v>
      </c>
      <c r="C57" s="4" t="s">
        <v>12</v>
      </c>
      <c r="D57" s="4">
        <v>119251.0</v>
      </c>
      <c r="E57" s="5">
        <f>sumifs('Transaction data'!$C$2:$C$83,'Transaction data'!$H$2:$H$83,$A57,'Transaction data'!$K$2:$K$83,$B57,'Transaction data'!$J$2:$J$83,$C57)</f>
        <v>0</v>
      </c>
    </row>
    <row r="58">
      <c r="A58" s="3" t="s">
        <v>18</v>
      </c>
      <c r="B58" s="3" t="s">
        <v>20</v>
      </c>
      <c r="C58" s="4" t="s">
        <v>13</v>
      </c>
      <c r="D58" s="4">
        <v>147753.0</v>
      </c>
      <c r="E58" s="5">
        <f>sumifs('Transaction data'!$C$2:$C$83,'Transaction data'!$H$2:$H$83,$A58,'Transaction data'!$K$2:$K$83,$B58,'Transaction data'!$J$2:$J$83,$C58)</f>
        <v>113056</v>
      </c>
    </row>
    <row r="59">
      <c r="A59" s="3" t="s">
        <v>18</v>
      </c>
      <c r="B59" s="3" t="s">
        <v>20</v>
      </c>
      <c r="C59" s="4" t="s">
        <v>16</v>
      </c>
      <c r="D59" s="4">
        <v>147122.0</v>
      </c>
      <c r="E59" s="5">
        <f>sumifs('Transaction data'!$C$2:$C$83,'Transaction data'!$H$2:$H$83,$A59,'Transaction data'!$K$2:$K$83,$B59,'Transaction data'!$J$2:$J$83,$C59)</f>
        <v>113056</v>
      </c>
    </row>
    <row r="60">
      <c r="A60" s="3" t="s">
        <v>18</v>
      </c>
      <c r="B60" s="3" t="s">
        <v>20</v>
      </c>
      <c r="C60" s="4" t="s">
        <v>14</v>
      </c>
      <c r="D60" s="4">
        <v>1000.0</v>
      </c>
      <c r="E60" s="5">
        <f>sumifs('Transaction data'!$C$2:$C$83,'Transaction data'!$H$2:$H$83,$A60,'Transaction data'!$K$2:$K$83,$B60,'Transaction data'!$J$2:$J$83,$C60)</f>
        <v>0</v>
      </c>
    </row>
    <row r="61">
      <c r="A61" s="3" t="s">
        <v>18</v>
      </c>
      <c r="B61" s="3" t="s">
        <v>20</v>
      </c>
      <c r="C61" s="4" t="s">
        <v>15</v>
      </c>
      <c r="D61" s="4">
        <v>4500.0</v>
      </c>
      <c r="E61" s="5">
        <f>sumifs('Transaction data'!$C$2:$C$83,'Transaction data'!$H$2:$H$83,$A61,'Transaction data'!$K$2:$K$83,$B61,'Transaction data'!$J$2:$J$83,$C61)</f>
        <v>0</v>
      </c>
    </row>
    <row r="62">
      <c r="A62" s="3" t="s">
        <v>4</v>
      </c>
      <c r="B62" s="3" t="s">
        <v>20</v>
      </c>
      <c r="C62" s="4" t="s">
        <v>6</v>
      </c>
      <c r="D62" s="4">
        <v>2342.0</v>
      </c>
      <c r="E62" s="5">
        <f>sumifs('Transaction data'!$C$2:$C$83,'Transaction data'!$H$2:$H$83,$A62,'Transaction data'!$K$2:$K$83,$B62,'Transaction data'!$J$2:$J$83,$C62)</f>
        <v>0</v>
      </c>
    </row>
    <row r="63">
      <c r="A63" s="3" t="s">
        <v>4</v>
      </c>
      <c r="B63" s="3" t="s">
        <v>20</v>
      </c>
      <c r="C63" s="4" t="s">
        <v>7</v>
      </c>
      <c r="D63" s="4">
        <v>125374.0</v>
      </c>
      <c r="E63" s="5">
        <f>sumifs('Transaction data'!$C$2:$C$83,'Transaction data'!$H$2:$H$83,$A63,'Transaction data'!$K$2:$K$83,$B63,'Transaction data'!$J$2:$J$83,$C63)</f>
        <v>72000</v>
      </c>
    </row>
    <row r="64">
      <c r="A64" s="3" t="s">
        <v>4</v>
      </c>
      <c r="B64" s="3" t="s">
        <v>20</v>
      </c>
      <c r="C64" s="4" t="s">
        <v>8</v>
      </c>
      <c r="D64" s="4">
        <v>121417.0</v>
      </c>
      <c r="E64" s="5">
        <f>sumifs('Transaction data'!$C$2:$C$83,'Transaction data'!$H$2:$H$83,$A64,'Transaction data'!$K$2:$K$83,$B64,'Transaction data'!$J$2:$J$83,$C64)</f>
        <v>0</v>
      </c>
    </row>
    <row r="65">
      <c r="A65" s="3" t="s">
        <v>4</v>
      </c>
      <c r="B65" s="3" t="s">
        <v>20</v>
      </c>
      <c r="C65" s="4" t="s">
        <v>9</v>
      </c>
      <c r="D65" s="4">
        <v>109093.0</v>
      </c>
      <c r="E65" s="5">
        <f>sumifs('Transaction data'!$C$2:$C$83,'Transaction data'!$H$2:$H$83,$A65,'Transaction data'!$K$2:$K$83,$B65,'Transaction data'!$J$2:$J$83,$C65)</f>
        <v>62500</v>
      </c>
    </row>
    <row r="66">
      <c r="A66" s="3" t="s">
        <v>4</v>
      </c>
      <c r="B66" s="3" t="s">
        <v>20</v>
      </c>
      <c r="C66" s="4" t="s">
        <v>10</v>
      </c>
      <c r="D66" s="4">
        <v>3000.0</v>
      </c>
      <c r="E66" s="5">
        <f>sumifs('Transaction data'!$C$2:$C$83,'Transaction data'!$H$2:$H$83,$A66,'Transaction data'!$K$2:$K$83,$B66,'Transaction data'!$J$2:$J$83,$C66)</f>
        <v>0</v>
      </c>
    </row>
    <row r="67">
      <c r="A67" s="3" t="s">
        <v>4</v>
      </c>
      <c r="B67" s="3" t="s">
        <v>20</v>
      </c>
      <c r="C67" s="4" t="s">
        <v>11</v>
      </c>
      <c r="D67" s="4">
        <v>3211.0</v>
      </c>
      <c r="E67" s="5">
        <f>sumifs('Transaction data'!$C$2:$C$83,'Transaction data'!$H$2:$H$83,$A67,'Transaction data'!$K$2:$K$83,$B67,'Transaction data'!$J$2:$J$83,$C67)</f>
        <v>0</v>
      </c>
    </row>
    <row r="68">
      <c r="A68" s="3" t="s">
        <v>4</v>
      </c>
      <c r="B68" s="3" t="s">
        <v>20</v>
      </c>
      <c r="C68" s="4" t="s">
        <v>17</v>
      </c>
      <c r="D68" s="4">
        <v>142031.0</v>
      </c>
      <c r="E68" s="5">
        <f>sumifs('Transaction data'!$C$2:$C$83,'Transaction data'!$H$2:$H$83,$A68,'Transaction data'!$K$2:$K$83,$B68,'Transaction data'!$J$2:$J$83,$C68)</f>
        <v>23000</v>
      </c>
    </row>
    <row r="69">
      <c r="A69" s="3" t="s">
        <v>4</v>
      </c>
      <c r="B69" s="3" t="s">
        <v>20</v>
      </c>
      <c r="C69" s="4" t="s">
        <v>12</v>
      </c>
      <c r="D69" s="4">
        <v>107797.0</v>
      </c>
      <c r="E69" s="5">
        <f>sumifs('Transaction data'!$C$2:$C$83,'Transaction data'!$H$2:$H$83,$A69,'Transaction data'!$K$2:$K$83,$B69,'Transaction data'!$J$2:$J$83,$C69)</f>
        <v>30663</v>
      </c>
    </row>
    <row r="70">
      <c r="A70" s="3" t="s">
        <v>4</v>
      </c>
      <c r="B70" s="3" t="s">
        <v>20</v>
      </c>
      <c r="C70" s="4" t="s">
        <v>13</v>
      </c>
      <c r="D70" s="4">
        <v>3211.0</v>
      </c>
      <c r="E70" s="5">
        <f>sumifs('Transaction data'!$C$2:$C$83,'Transaction data'!$H$2:$H$83,$A70,'Transaction data'!$K$2:$K$83,$B70,'Transaction data'!$J$2:$J$83,$C70)</f>
        <v>0</v>
      </c>
    </row>
    <row r="71">
      <c r="A71" s="3" t="s">
        <v>4</v>
      </c>
      <c r="B71" s="3" t="s">
        <v>20</v>
      </c>
      <c r="C71" s="4" t="s">
        <v>16</v>
      </c>
      <c r="D71" s="4">
        <v>132510.0</v>
      </c>
      <c r="E71" s="5">
        <f>sumifs('Transaction data'!$C$2:$C$83,'Transaction data'!$H$2:$H$83,$A71,'Transaction data'!$K$2:$K$83,$B71,'Transaction data'!$J$2:$J$83,$C71)</f>
        <v>29700</v>
      </c>
    </row>
    <row r="72">
      <c r="A72" s="3" t="s">
        <v>4</v>
      </c>
      <c r="B72" s="3" t="s">
        <v>20</v>
      </c>
      <c r="C72" s="4" t="s">
        <v>14</v>
      </c>
      <c r="D72" s="4">
        <v>654.0</v>
      </c>
      <c r="E72" s="5">
        <f>sumifs('Transaction data'!$C$2:$C$83,'Transaction data'!$H$2:$H$83,$A72,'Transaction data'!$K$2:$K$83,$B72,'Transaction data'!$J$2:$J$83,$C72)</f>
        <v>98000</v>
      </c>
    </row>
    <row r="73">
      <c r="A73" s="3" t="s">
        <v>4</v>
      </c>
      <c r="B73" s="3" t="s">
        <v>20</v>
      </c>
      <c r="C73" s="4" t="s">
        <v>15</v>
      </c>
      <c r="D73" s="4">
        <v>4556.0</v>
      </c>
      <c r="E73" s="5">
        <f>sumifs('Transaction data'!$C$2:$C$83,'Transaction data'!$H$2:$H$83,$A73,'Transaction data'!$K$2:$K$83,$B73,'Transaction data'!$J$2:$J$83,$C73)</f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22</v>
      </c>
      <c r="B1" s="6" t="s">
        <v>1</v>
      </c>
    </row>
    <row r="2">
      <c r="A2" s="7">
        <v>5554.0</v>
      </c>
      <c r="B2" s="8" t="s">
        <v>20</v>
      </c>
    </row>
    <row r="3">
      <c r="A3" s="7">
        <v>4833.0</v>
      </c>
      <c r="B3" s="8" t="s">
        <v>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5.63"/>
    <col customWidth="1" min="3" max="3" width="20.38"/>
    <col customWidth="1" min="5" max="5" width="22.25"/>
    <col customWidth="1" min="7" max="7" width="14.25"/>
  </cols>
  <sheetData>
    <row r="1">
      <c r="A1" s="1" t="s">
        <v>23</v>
      </c>
      <c r="B1" s="1" t="s">
        <v>24</v>
      </c>
      <c r="C1" s="1" t="s">
        <v>25</v>
      </c>
      <c r="F1" s="9" t="s">
        <v>22</v>
      </c>
      <c r="G1" s="9" t="s">
        <v>26</v>
      </c>
      <c r="H1" s="9" t="s">
        <v>0</v>
      </c>
      <c r="J1" s="9" t="s">
        <v>2</v>
      </c>
      <c r="K1" s="9" t="s">
        <v>1</v>
      </c>
    </row>
    <row r="2">
      <c r="A2" s="9" t="s">
        <v>27</v>
      </c>
      <c r="B2" s="10" t="s">
        <v>28</v>
      </c>
      <c r="C2" s="9">
        <v>72000.0</v>
      </c>
      <c r="D2" s="5">
        <f>IFERROR(__xludf.DUMMYFUNCTION("split(B2,""/"")"),6.0)</f>
        <v>6</v>
      </c>
      <c r="E2" s="5" t="str">
        <f>IFERROR(__xludf.DUMMYFUNCTION("""COMPUTED_VALUE"""),"January-Office-Supplies")</f>
        <v>January-Office-Supplies</v>
      </c>
      <c r="F2" s="5">
        <f>IFERROR(__xludf.DUMMYFUNCTION("""COMPUTED_VALUE"""),4833.0)</f>
        <v>4833</v>
      </c>
      <c r="G2" s="5">
        <f t="shared" ref="G2:G83" si="1">Value(F2)</f>
        <v>4833</v>
      </c>
      <c r="H2" s="5" t="str">
        <f>IFERROR(__xludf.DUMMYFUNCTION("split(E2,""-"")"),"January")</f>
        <v>January</v>
      </c>
      <c r="I2" s="11" t="str">
        <f>IFERROR(__xludf.DUMMYFUNCTION("""COMPUTED_VALUE"""),"Office")</f>
        <v>Office</v>
      </c>
      <c r="J2" s="5" t="str">
        <f>IFERROR(__xludf.DUMMYFUNCTION("""COMPUTED_VALUE"""),"Supplies")</f>
        <v>Supplies</v>
      </c>
      <c r="K2" s="5" t="str">
        <f>Vlookup(F2,Card_Details!$A$2:$B$3,2,FALSE)</f>
        <v>Bengaluru</v>
      </c>
    </row>
    <row r="3">
      <c r="A3" s="9" t="s">
        <v>29</v>
      </c>
      <c r="B3" s="10" t="s">
        <v>30</v>
      </c>
      <c r="C3" s="9">
        <v>96000.0</v>
      </c>
      <c r="D3" s="5">
        <f>IFERROR(__xludf.DUMMYFUNCTION("split(B3,""/"")"),7.0)</f>
        <v>7</v>
      </c>
      <c r="E3" s="5" t="str">
        <f>IFERROR(__xludf.DUMMYFUNCTION("""COMPUTED_VALUE"""),"January-Office-Rent")</f>
        <v>January-Office-Rent</v>
      </c>
      <c r="F3" s="5">
        <f>IFERROR(__xludf.DUMMYFUNCTION("""COMPUTED_VALUE"""),4833.0)</f>
        <v>4833</v>
      </c>
      <c r="G3" s="5">
        <f t="shared" si="1"/>
        <v>4833</v>
      </c>
      <c r="H3" s="5" t="str">
        <f>IFERROR(__xludf.DUMMYFUNCTION("split(E3,""-"")"),"January")</f>
        <v>January</v>
      </c>
      <c r="I3" s="5" t="str">
        <f>IFERROR(__xludf.DUMMYFUNCTION("""COMPUTED_VALUE"""),"Office")</f>
        <v>Office</v>
      </c>
      <c r="J3" s="5" t="str">
        <f>IFERROR(__xludf.DUMMYFUNCTION("""COMPUTED_VALUE"""),"Rent")</f>
        <v>Rent</v>
      </c>
      <c r="K3" s="5" t="str">
        <f>Vlookup(F3,Card_Details!$A$2:$B$3,2,FALSE)</f>
        <v>Bengaluru</v>
      </c>
    </row>
    <row r="4">
      <c r="A4" s="9" t="s">
        <v>31</v>
      </c>
      <c r="B4" s="10" t="s">
        <v>32</v>
      </c>
      <c r="C4" s="9">
        <v>62500.0</v>
      </c>
      <c r="D4" s="5">
        <f>IFERROR(__xludf.DUMMYFUNCTION("split(B4,""/"")"),8.0)</f>
        <v>8</v>
      </c>
      <c r="E4" s="5" t="str">
        <f>IFERROR(__xludf.DUMMYFUNCTION("""COMPUTED_VALUE"""),"January-Office-Printing")</f>
        <v>January-Office-Printing</v>
      </c>
      <c r="F4" s="5">
        <f>IFERROR(__xludf.DUMMYFUNCTION("""COMPUTED_VALUE"""),4833.0)</f>
        <v>4833</v>
      </c>
      <c r="G4" s="5">
        <f t="shared" si="1"/>
        <v>4833</v>
      </c>
      <c r="H4" s="5" t="str">
        <f>IFERROR(__xludf.DUMMYFUNCTION("split(E4,""-"")"),"January")</f>
        <v>January</v>
      </c>
      <c r="I4" s="5" t="str">
        <f>IFERROR(__xludf.DUMMYFUNCTION("""COMPUTED_VALUE"""),"Office")</f>
        <v>Office</v>
      </c>
      <c r="J4" s="5" t="str">
        <f>IFERROR(__xludf.DUMMYFUNCTION("""COMPUTED_VALUE"""),"Printing")</f>
        <v>Printing</v>
      </c>
      <c r="K4" s="5" t="str">
        <f>Vlookup(F4,Card_Details!$A$2:$B$3,2,FALSE)</f>
        <v>Bengaluru</v>
      </c>
    </row>
    <row r="5">
      <c r="A5" s="9" t="s">
        <v>33</v>
      </c>
      <c r="B5" s="10" t="s">
        <v>34</v>
      </c>
      <c r="C5" s="9">
        <v>218900.0</v>
      </c>
      <c r="D5" s="5">
        <f>IFERROR(__xludf.DUMMYFUNCTION("split(B5,""/"")"),9.0)</f>
        <v>9</v>
      </c>
      <c r="E5" s="5" t="str">
        <f>IFERROR(__xludf.DUMMYFUNCTION("""COMPUTED_VALUE"""),"January-Office-Utilities")</f>
        <v>January-Office-Utilities</v>
      </c>
      <c r="F5" s="5">
        <f>IFERROR(__xludf.DUMMYFUNCTION("""COMPUTED_VALUE"""),4833.0)</f>
        <v>4833</v>
      </c>
      <c r="G5" s="5">
        <f t="shared" si="1"/>
        <v>4833</v>
      </c>
      <c r="H5" s="5" t="str">
        <f>IFERROR(__xludf.DUMMYFUNCTION("split(E5,""-"")"),"January")</f>
        <v>January</v>
      </c>
      <c r="I5" s="5" t="str">
        <f>IFERROR(__xludf.DUMMYFUNCTION("""COMPUTED_VALUE"""),"Office")</f>
        <v>Office</v>
      </c>
      <c r="J5" s="5" t="str">
        <f>IFERROR(__xludf.DUMMYFUNCTION("""COMPUTED_VALUE"""),"Utilities")</f>
        <v>Utilities</v>
      </c>
      <c r="K5" s="5" t="str">
        <f>Vlookup(F5,Card_Details!$A$2:$B$3,2,FALSE)</f>
        <v>Bengaluru</v>
      </c>
    </row>
    <row r="6">
      <c r="A6" s="9" t="s">
        <v>35</v>
      </c>
      <c r="B6" s="10" t="s">
        <v>36</v>
      </c>
      <c r="C6" s="9">
        <v>23870.0</v>
      </c>
      <c r="D6" s="5">
        <f>IFERROR(__xludf.DUMMYFUNCTION("split(B6,""/"")"),10.0)</f>
        <v>10</v>
      </c>
      <c r="E6" s="5" t="str">
        <f>IFERROR(__xludf.DUMMYFUNCTION("""COMPUTED_VALUE"""),"January-Office-Stationery")</f>
        <v>January-Office-Stationery</v>
      </c>
      <c r="F6" s="5">
        <f>IFERROR(__xludf.DUMMYFUNCTION("""COMPUTED_VALUE"""),4833.0)</f>
        <v>4833</v>
      </c>
      <c r="G6" s="5">
        <f t="shared" si="1"/>
        <v>4833</v>
      </c>
      <c r="H6" s="5" t="str">
        <f>IFERROR(__xludf.DUMMYFUNCTION("split(E6,""-"")"),"January")</f>
        <v>January</v>
      </c>
      <c r="I6" s="5" t="str">
        <f>IFERROR(__xludf.DUMMYFUNCTION("""COMPUTED_VALUE"""),"Office")</f>
        <v>Office</v>
      </c>
      <c r="J6" s="5" t="str">
        <f>IFERROR(__xludf.DUMMYFUNCTION("""COMPUTED_VALUE"""),"Stationery")</f>
        <v>Stationery</v>
      </c>
      <c r="K6" s="5" t="str">
        <f>Vlookup(F6,Card_Details!$A$2:$B$3,2,FALSE)</f>
        <v>Bengaluru</v>
      </c>
    </row>
    <row r="7">
      <c r="A7" s="9" t="s">
        <v>37</v>
      </c>
      <c r="B7" s="10" t="s">
        <v>38</v>
      </c>
      <c r="C7" s="9">
        <v>108000.0</v>
      </c>
      <c r="D7" s="5">
        <f>IFERROR(__xludf.DUMMYFUNCTION("split(B7,""/"")"),11.0)</f>
        <v>11</v>
      </c>
      <c r="E7" s="5" t="str">
        <f>IFERROR(__xludf.DUMMYFUNCTION("""COMPUTED_VALUE"""),"January-Office-Internet")</f>
        <v>January-Office-Internet</v>
      </c>
      <c r="F7" s="5">
        <f>IFERROR(__xludf.DUMMYFUNCTION("""COMPUTED_VALUE"""),4833.0)</f>
        <v>4833</v>
      </c>
      <c r="G7" s="5">
        <f t="shared" si="1"/>
        <v>4833</v>
      </c>
      <c r="H7" s="5" t="str">
        <f>IFERROR(__xludf.DUMMYFUNCTION("split(E7,""-"")"),"January")</f>
        <v>January</v>
      </c>
      <c r="I7" s="5" t="str">
        <f>IFERROR(__xludf.DUMMYFUNCTION("""COMPUTED_VALUE"""),"Office")</f>
        <v>Office</v>
      </c>
      <c r="J7" s="5" t="str">
        <f>IFERROR(__xludf.DUMMYFUNCTION("""COMPUTED_VALUE"""),"Internet")</f>
        <v>Internet</v>
      </c>
      <c r="K7" s="5" t="str">
        <f>Vlookup(F7,Card_Details!$A$2:$B$3,2,FALSE)</f>
        <v>Bengaluru</v>
      </c>
    </row>
    <row r="8">
      <c r="A8" s="9" t="s">
        <v>39</v>
      </c>
      <c r="B8" s="10" t="s">
        <v>40</v>
      </c>
      <c r="C8" s="9">
        <v>23000.0</v>
      </c>
      <c r="D8" s="5">
        <f>IFERROR(__xludf.DUMMYFUNCTION("split(B8,""/"")"),12.0)</f>
        <v>12</v>
      </c>
      <c r="E8" s="5" t="str">
        <f>IFERROR(__xludf.DUMMYFUNCTION("""COMPUTED_VALUE"""),"January-Office-Equipment")</f>
        <v>January-Office-Equipment</v>
      </c>
      <c r="F8" s="5">
        <f>IFERROR(__xludf.DUMMYFUNCTION("""COMPUTED_VALUE"""),5554.0)</f>
        <v>5554</v>
      </c>
      <c r="G8" s="5">
        <f t="shared" si="1"/>
        <v>5554</v>
      </c>
      <c r="H8" s="5" t="str">
        <f>IFERROR(__xludf.DUMMYFUNCTION("split(E8,""-"")"),"January")</f>
        <v>January</v>
      </c>
      <c r="I8" s="5" t="str">
        <f>IFERROR(__xludf.DUMMYFUNCTION("""COMPUTED_VALUE"""),"Office")</f>
        <v>Office</v>
      </c>
      <c r="J8" s="5" t="str">
        <f>IFERROR(__xludf.DUMMYFUNCTION("""COMPUTED_VALUE"""),"Equipment")</f>
        <v>Equipment</v>
      </c>
      <c r="K8" s="5" t="str">
        <f>Vlookup(F8,Card_Details!$A$2:$B$3,2,FALSE)</f>
        <v>Kolkata</v>
      </c>
    </row>
    <row r="9">
      <c r="A9" s="9" t="s">
        <v>41</v>
      </c>
      <c r="B9" s="10" t="s">
        <v>42</v>
      </c>
      <c r="C9" s="9">
        <v>52350.0</v>
      </c>
      <c r="D9" s="5">
        <f>IFERROR(__xludf.DUMMYFUNCTION("split(B9,""/"")"),13.0)</f>
        <v>13</v>
      </c>
      <c r="E9" s="5" t="str">
        <f>IFERROR(__xludf.DUMMYFUNCTION("""COMPUTED_VALUE"""),"January-Office-Meetings")</f>
        <v>January-Office-Meetings</v>
      </c>
      <c r="F9" s="5">
        <f>IFERROR(__xludf.DUMMYFUNCTION("""COMPUTED_VALUE"""),4833.0)</f>
        <v>4833</v>
      </c>
      <c r="G9" s="5">
        <f t="shared" si="1"/>
        <v>4833</v>
      </c>
      <c r="H9" s="5" t="str">
        <f>IFERROR(__xludf.DUMMYFUNCTION("split(E9,""-"")"),"January")</f>
        <v>January</v>
      </c>
      <c r="I9" s="5" t="str">
        <f>IFERROR(__xludf.DUMMYFUNCTION("""COMPUTED_VALUE"""),"Office")</f>
        <v>Office</v>
      </c>
      <c r="J9" s="5" t="str">
        <f>IFERROR(__xludf.DUMMYFUNCTION("""COMPUTED_VALUE"""),"Meetings")</f>
        <v>Meetings</v>
      </c>
      <c r="K9" s="5" t="str">
        <f>Vlookup(F9,Card_Details!$A$2:$B$3,2,FALSE)</f>
        <v>Bengaluru</v>
      </c>
    </row>
    <row r="10">
      <c r="A10" s="9" t="s">
        <v>43</v>
      </c>
      <c r="B10" s="10" t="s">
        <v>44</v>
      </c>
      <c r="C10" s="9">
        <v>12550.0</v>
      </c>
      <c r="D10" s="5">
        <f>IFERROR(__xludf.DUMMYFUNCTION("split(B10,""/"")"),14.0)</f>
        <v>14</v>
      </c>
      <c r="E10" s="5" t="str">
        <f>IFERROR(__xludf.DUMMYFUNCTION("""COMPUTED_VALUE"""),"January-Office-Travel")</f>
        <v>January-Office-Travel</v>
      </c>
      <c r="F10" s="5">
        <f>IFERROR(__xludf.DUMMYFUNCTION("""COMPUTED_VALUE"""),4833.0)</f>
        <v>4833</v>
      </c>
      <c r="G10" s="5">
        <f t="shared" si="1"/>
        <v>4833</v>
      </c>
      <c r="H10" s="5" t="str">
        <f>IFERROR(__xludf.DUMMYFUNCTION("split(E10,""-"")"),"January")</f>
        <v>January</v>
      </c>
      <c r="I10" s="5" t="str">
        <f>IFERROR(__xludf.DUMMYFUNCTION("""COMPUTED_VALUE"""),"Office")</f>
        <v>Office</v>
      </c>
      <c r="J10" s="5" t="str">
        <f>IFERROR(__xludf.DUMMYFUNCTION("""COMPUTED_VALUE"""),"Travel")</f>
        <v>Travel</v>
      </c>
      <c r="K10" s="5" t="str">
        <f>Vlookup(F10,Card_Details!$A$2:$B$3,2,FALSE)</f>
        <v>Bengaluru</v>
      </c>
    </row>
    <row r="11">
      <c r="A11" s="9" t="s">
        <v>45</v>
      </c>
      <c r="B11" s="10" t="s">
        <v>46</v>
      </c>
      <c r="C11" s="9">
        <v>29700.0</v>
      </c>
      <c r="D11" s="5">
        <f>IFERROR(__xludf.DUMMYFUNCTION("split(B11,""/"")"),15.0)</f>
        <v>15</v>
      </c>
      <c r="E11" s="5" t="str">
        <f>IFERROR(__xludf.DUMMYFUNCTION("""COMPUTED_VALUE"""),"January-Office-Insurance")</f>
        <v>January-Office-Insurance</v>
      </c>
      <c r="F11" s="5">
        <f>IFERROR(__xludf.DUMMYFUNCTION("""COMPUTED_VALUE"""),5554.0)</f>
        <v>5554</v>
      </c>
      <c r="G11" s="5">
        <f t="shared" si="1"/>
        <v>5554</v>
      </c>
      <c r="H11" s="5" t="str">
        <f>IFERROR(__xludf.DUMMYFUNCTION("split(E11,""-"")"),"January")</f>
        <v>January</v>
      </c>
      <c r="I11" s="5" t="str">
        <f>IFERROR(__xludf.DUMMYFUNCTION("""COMPUTED_VALUE"""),"Office")</f>
        <v>Office</v>
      </c>
      <c r="J11" s="5" t="str">
        <f>IFERROR(__xludf.DUMMYFUNCTION("""COMPUTED_VALUE"""),"Insurance")</f>
        <v>Insurance</v>
      </c>
      <c r="K11" s="5" t="str">
        <f>Vlookup(F11,Card_Details!$A$2:$B$3,2,FALSE)</f>
        <v>Kolkata</v>
      </c>
    </row>
    <row r="12">
      <c r="A12" s="9" t="s">
        <v>47</v>
      </c>
      <c r="B12" s="10" t="s">
        <v>48</v>
      </c>
      <c r="C12" s="9">
        <v>28750.0</v>
      </c>
      <c r="D12" s="5">
        <f>IFERROR(__xludf.DUMMYFUNCTION("split(B12,""/"")"),16.0)</f>
        <v>16</v>
      </c>
      <c r="E12" s="5" t="str">
        <f>IFERROR(__xludf.DUMMYFUNCTION("""COMPUTED_VALUE"""),"January-Office-Education")</f>
        <v>January-Office-Education</v>
      </c>
      <c r="F12" s="5">
        <f>IFERROR(__xludf.DUMMYFUNCTION("""COMPUTED_VALUE"""),4833.0)</f>
        <v>4833</v>
      </c>
      <c r="G12" s="5">
        <f t="shared" si="1"/>
        <v>4833</v>
      </c>
      <c r="H12" s="5" t="str">
        <f>IFERROR(__xludf.DUMMYFUNCTION("split(E12,""-"")"),"January")</f>
        <v>January</v>
      </c>
      <c r="I12" s="5" t="str">
        <f>IFERROR(__xludf.DUMMYFUNCTION("""COMPUTED_VALUE"""),"Office")</f>
        <v>Office</v>
      </c>
      <c r="J12" s="5" t="str">
        <f>IFERROR(__xludf.DUMMYFUNCTION("""COMPUTED_VALUE"""),"Education")</f>
        <v>Education</v>
      </c>
      <c r="K12" s="5" t="str">
        <f>Vlookup(F12,Card_Details!$A$2:$B$3,2,FALSE)</f>
        <v>Bengaluru</v>
      </c>
    </row>
    <row r="13">
      <c r="A13" s="9" t="s">
        <v>49</v>
      </c>
      <c r="B13" s="10" t="s">
        <v>50</v>
      </c>
      <c r="C13" s="9">
        <v>20800.0</v>
      </c>
      <c r="D13" s="5">
        <f>IFERROR(__xludf.DUMMYFUNCTION("split(B13,""/"")"),17.0)</f>
        <v>17</v>
      </c>
      <c r="E13" s="5" t="str">
        <f>IFERROR(__xludf.DUMMYFUNCTION("""COMPUTED_VALUE"""),"January-Office-Telecommunications")</f>
        <v>January-Office-Telecommunications</v>
      </c>
      <c r="F13" s="5">
        <f>IFERROR(__xludf.DUMMYFUNCTION("""COMPUTED_VALUE"""),4833.0)</f>
        <v>4833</v>
      </c>
      <c r="G13" s="5">
        <f t="shared" si="1"/>
        <v>4833</v>
      </c>
      <c r="H13" s="5" t="str">
        <f>IFERROR(__xludf.DUMMYFUNCTION("split(E13,""-"")"),"January")</f>
        <v>January</v>
      </c>
      <c r="I13" s="5" t="str">
        <f>IFERROR(__xludf.DUMMYFUNCTION("""COMPUTED_VALUE"""),"Office")</f>
        <v>Office</v>
      </c>
      <c r="J13" s="5" t="str">
        <f>IFERROR(__xludf.DUMMYFUNCTION("""COMPUTED_VALUE"""),"Telecommunications")</f>
        <v>Telecommunications</v>
      </c>
      <c r="K13" s="5" t="str">
        <f>Vlookup(F13,Card_Details!$A$2:$B$3,2,FALSE)</f>
        <v>Bengaluru</v>
      </c>
    </row>
    <row r="14">
      <c r="A14" s="9" t="s">
        <v>51</v>
      </c>
      <c r="B14" s="10" t="s">
        <v>52</v>
      </c>
      <c r="C14" s="9">
        <v>98000.0</v>
      </c>
      <c r="D14" s="5">
        <f>IFERROR(__xludf.DUMMYFUNCTION("split(B14,""/"")"),1.0)</f>
        <v>1</v>
      </c>
      <c r="E14" s="5" t="str">
        <f>IFERROR(__xludf.DUMMYFUNCTION("""COMPUTED_VALUE"""),"January-Office-Supplies")</f>
        <v>January-Office-Supplies</v>
      </c>
      <c r="F14" s="5">
        <f>IFERROR(__xludf.DUMMYFUNCTION("""COMPUTED_VALUE"""),4833.0)</f>
        <v>4833</v>
      </c>
      <c r="G14" s="5">
        <f t="shared" si="1"/>
        <v>4833</v>
      </c>
      <c r="H14" s="5" t="str">
        <f>IFERROR(__xludf.DUMMYFUNCTION("split(E14,""-"")"),"January")</f>
        <v>January</v>
      </c>
      <c r="I14" s="5" t="str">
        <f>IFERROR(__xludf.DUMMYFUNCTION("""COMPUTED_VALUE"""),"Office")</f>
        <v>Office</v>
      </c>
      <c r="J14" s="5" t="str">
        <f>IFERROR(__xludf.DUMMYFUNCTION("""COMPUTED_VALUE"""),"Supplies")</f>
        <v>Supplies</v>
      </c>
      <c r="K14" s="5" t="str">
        <f>Vlookup(F14,Card_Details!$A$2:$B$3,2,FALSE)</f>
        <v>Bengaluru</v>
      </c>
    </row>
    <row r="15">
      <c r="A15" s="9" t="s">
        <v>53</v>
      </c>
      <c r="B15" s="10" t="s">
        <v>54</v>
      </c>
      <c r="C15" s="9">
        <v>72000.0</v>
      </c>
      <c r="D15" s="5">
        <f>IFERROR(__xludf.DUMMYFUNCTION("split(B15,""/"")"),2.0)</f>
        <v>2</v>
      </c>
      <c r="E15" s="5" t="str">
        <f>IFERROR(__xludf.DUMMYFUNCTION("""COMPUTED_VALUE"""),"January-Office-Rent")</f>
        <v>January-Office-Rent</v>
      </c>
      <c r="F15" s="5">
        <f>IFERROR(__xludf.DUMMYFUNCTION("""COMPUTED_VALUE"""),5554.0)</f>
        <v>5554</v>
      </c>
      <c r="G15" s="5">
        <f t="shared" si="1"/>
        <v>5554</v>
      </c>
      <c r="H15" s="5" t="str">
        <f>IFERROR(__xludf.DUMMYFUNCTION("split(E15,""-"")"),"January")</f>
        <v>January</v>
      </c>
      <c r="I15" s="5" t="str">
        <f>IFERROR(__xludf.DUMMYFUNCTION("""COMPUTED_VALUE"""),"Office")</f>
        <v>Office</v>
      </c>
      <c r="J15" s="5" t="str">
        <f>IFERROR(__xludf.DUMMYFUNCTION("""COMPUTED_VALUE"""),"Rent")</f>
        <v>Rent</v>
      </c>
      <c r="K15" s="5" t="str">
        <f>Vlookup(F15,Card_Details!$A$2:$B$3,2,FALSE)</f>
        <v>Kolkata</v>
      </c>
    </row>
    <row r="16">
      <c r="A16" s="9" t="s">
        <v>55</v>
      </c>
      <c r="B16" s="10" t="s">
        <v>56</v>
      </c>
      <c r="C16" s="9">
        <v>96000.0</v>
      </c>
      <c r="D16" s="5">
        <f>IFERROR(__xludf.DUMMYFUNCTION("split(B16,""/"")"),3.0)</f>
        <v>3</v>
      </c>
      <c r="E16" s="5" t="str">
        <f>IFERROR(__xludf.DUMMYFUNCTION("""COMPUTED_VALUE"""),"January-Office-Printing")</f>
        <v>January-Office-Printing</v>
      </c>
      <c r="F16" s="5">
        <f>IFERROR(__xludf.DUMMYFUNCTION("""COMPUTED_VALUE"""),4833.0)</f>
        <v>4833</v>
      </c>
      <c r="G16" s="5">
        <f t="shared" si="1"/>
        <v>4833</v>
      </c>
      <c r="H16" s="5" t="str">
        <f>IFERROR(__xludf.DUMMYFUNCTION("split(E16,""-"")"),"January")</f>
        <v>January</v>
      </c>
      <c r="I16" s="5" t="str">
        <f>IFERROR(__xludf.DUMMYFUNCTION("""COMPUTED_VALUE"""),"Office")</f>
        <v>Office</v>
      </c>
      <c r="J16" s="5" t="str">
        <f>IFERROR(__xludf.DUMMYFUNCTION("""COMPUTED_VALUE"""),"Printing")</f>
        <v>Printing</v>
      </c>
      <c r="K16" s="5" t="str">
        <f>Vlookup(F16,Card_Details!$A$2:$B$3,2,FALSE)</f>
        <v>Bengaluru</v>
      </c>
    </row>
    <row r="17">
      <c r="A17" s="9" t="s">
        <v>57</v>
      </c>
      <c r="B17" s="10" t="s">
        <v>58</v>
      </c>
      <c r="C17" s="9">
        <v>62500.0</v>
      </c>
      <c r="D17" s="5">
        <f>IFERROR(__xludf.DUMMYFUNCTION("split(B17,""/"")"),4.0)</f>
        <v>4</v>
      </c>
      <c r="E17" s="5" t="str">
        <f>IFERROR(__xludf.DUMMYFUNCTION("""COMPUTED_VALUE"""),"January-Office-Utilities")</f>
        <v>January-Office-Utilities</v>
      </c>
      <c r="F17" s="5">
        <f>IFERROR(__xludf.DUMMYFUNCTION("""COMPUTED_VALUE"""),5554.0)</f>
        <v>5554</v>
      </c>
      <c r="G17" s="5">
        <f t="shared" si="1"/>
        <v>5554</v>
      </c>
      <c r="H17" s="5" t="str">
        <f>IFERROR(__xludf.DUMMYFUNCTION("split(E17,""-"")"),"January")</f>
        <v>January</v>
      </c>
      <c r="I17" s="5" t="str">
        <f>IFERROR(__xludf.DUMMYFUNCTION("""COMPUTED_VALUE"""),"Office")</f>
        <v>Office</v>
      </c>
      <c r="J17" s="5" t="str">
        <f>IFERROR(__xludf.DUMMYFUNCTION("""COMPUTED_VALUE"""),"Utilities")</f>
        <v>Utilities</v>
      </c>
      <c r="K17" s="5" t="str">
        <f>Vlookup(F17,Card_Details!$A$2:$B$3,2,FALSE)</f>
        <v>Kolkata</v>
      </c>
    </row>
    <row r="18">
      <c r="A18" s="9" t="s">
        <v>59</v>
      </c>
      <c r="B18" s="10" t="s">
        <v>60</v>
      </c>
      <c r="C18" s="9">
        <v>218900.0</v>
      </c>
      <c r="D18" s="5">
        <f>IFERROR(__xludf.DUMMYFUNCTION("split(B18,""/"")"),5.0)</f>
        <v>5</v>
      </c>
      <c r="E18" s="5" t="str">
        <f>IFERROR(__xludf.DUMMYFUNCTION("""COMPUTED_VALUE"""),"January-Office-Stationery")</f>
        <v>January-Office-Stationery</v>
      </c>
      <c r="F18" s="5">
        <f>IFERROR(__xludf.DUMMYFUNCTION("""COMPUTED_VALUE"""),4833.0)</f>
        <v>4833</v>
      </c>
      <c r="G18" s="5">
        <f t="shared" si="1"/>
        <v>4833</v>
      </c>
      <c r="H18" s="5" t="str">
        <f>IFERROR(__xludf.DUMMYFUNCTION("split(E18,""-"")"),"January")</f>
        <v>January</v>
      </c>
      <c r="I18" s="5" t="str">
        <f>IFERROR(__xludf.DUMMYFUNCTION("""COMPUTED_VALUE"""),"Office")</f>
        <v>Office</v>
      </c>
      <c r="J18" s="5" t="str">
        <f>IFERROR(__xludf.DUMMYFUNCTION("""COMPUTED_VALUE"""),"Stationery")</f>
        <v>Stationery</v>
      </c>
      <c r="K18" s="5" t="str">
        <f>Vlookup(F18,Card_Details!$A$2:$B$3,2,FALSE)</f>
        <v>Bengaluru</v>
      </c>
    </row>
    <row r="19">
      <c r="A19" s="9" t="s">
        <v>61</v>
      </c>
      <c r="B19" s="10" t="s">
        <v>62</v>
      </c>
      <c r="C19" s="9">
        <v>23870.0</v>
      </c>
      <c r="D19" s="5">
        <f>IFERROR(__xludf.DUMMYFUNCTION("split(B19,""/"")"),6.0)</f>
        <v>6</v>
      </c>
      <c r="E19" s="5" t="str">
        <f>IFERROR(__xludf.DUMMYFUNCTION("""COMPUTED_VALUE"""),"January-Office-Internet")</f>
        <v>January-Office-Internet</v>
      </c>
      <c r="F19" s="5">
        <f>IFERROR(__xludf.DUMMYFUNCTION("""COMPUTED_VALUE"""),4833.0)</f>
        <v>4833</v>
      </c>
      <c r="G19" s="5">
        <f t="shared" si="1"/>
        <v>4833</v>
      </c>
      <c r="H19" s="5" t="str">
        <f>IFERROR(__xludf.DUMMYFUNCTION("split(E19,""-"")"),"January")</f>
        <v>January</v>
      </c>
      <c r="I19" s="5" t="str">
        <f>IFERROR(__xludf.DUMMYFUNCTION("""COMPUTED_VALUE"""),"Office")</f>
        <v>Office</v>
      </c>
      <c r="J19" s="5" t="str">
        <f>IFERROR(__xludf.DUMMYFUNCTION("""COMPUTED_VALUE"""),"Internet")</f>
        <v>Internet</v>
      </c>
      <c r="K19" s="5" t="str">
        <f>Vlookup(F19,Card_Details!$A$2:$B$3,2,FALSE)</f>
        <v>Bengaluru</v>
      </c>
    </row>
    <row r="20">
      <c r="A20" s="9" t="s">
        <v>63</v>
      </c>
      <c r="B20" s="10" t="s">
        <v>64</v>
      </c>
      <c r="C20" s="9">
        <v>108000.0</v>
      </c>
      <c r="D20" s="5">
        <f>IFERROR(__xludf.DUMMYFUNCTION("split(B20,""/"")"),7.0)</f>
        <v>7</v>
      </c>
      <c r="E20" s="5" t="str">
        <f>IFERROR(__xludf.DUMMYFUNCTION("""COMPUTED_VALUE"""),"January-Office-Equipment")</f>
        <v>January-Office-Equipment</v>
      </c>
      <c r="F20" s="5">
        <f>IFERROR(__xludf.DUMMYFUNCTION("""COMPUTED_VALUE"""),4833.0)</f>
        <v>4833</v>
      </c>
      <c r="G20" s="5">
        <f t="shared" si="1"/>
        <v>4833</v>
      </c>
      <c r="H20" s="5" t="str">
        <f>IFERROR(__xludf.DUMMYFUNCTION("split(E20,""-"")"),"January")</f>
        <v>January</v>
      </c>
      <c r="I20" s="5" t="str">
        <f>IFERROR(__xludf.DUMMYFUNCTION("""COMPUTED_VALUE"""),"Office")</f>
        <v>Office</v>
      </c>
      <c r="J20" s="5" t="str">
        <f>IFERROR(__xludf.DUMMYFUNCTION("""COMPUTED_VALUE"""),"Equipment")</f>
        <v>Equipment</v>
      </c>
      <c r="K20" s="5" t="str">
        <f>Vlookup(F20,Card_Details!$A$2:$B$3,2,FALSE)</f>
        <v>Bengaluru</v>
      </c>
    </row>
    <row r="21">
      <c r="A21" s="9" t="s">
        <v>65</v>
      </c>
      <c r="B21" s="10" t="s">
        <v>66</v>
      </c>
      <c r="C21" s="9">
        <v>23000.0</v>
      </c>
      <c r="D21" s="5">
        <f>IFERROR(__xludf.DUMMYFUNCTION("split(B21,""/"")"),8.0)</f>
        <v>8</v>
      </c>
      <c r="E21" s="5" t="str">
        <f>IFERROR(__xludf.DUMMYFUNCTION("""COMPUTED_VALUE"""),"January-Office-Meetings")</f>
        <v>January-Office-Meetings</v>
      </c>
      <c r="F21" s="5">
        <f>IFERROR(__xludf.DUMMYFUNCTION("""COMPUTED_VALUE"""),4833.0)</f>
        <v>4833</v>
      </c>
      <c r="G21" s="5">
        <f t="shared" si="1"/>
        <v>4833</v>
      </c>
      <c r="H21" s="5" t="str">
        <f>IFERROR(__xludf.DUMMYFUNCTION("split(E21,""-"")"),"January")</f>
        <v>January</v>
      </c>
      <c r="I21" s="5" t="str">
        <f>IFERROR(__xludf.DUMMYFUNCTION("""COMPUTED_VALUE"""),"Office")</f>
        <v>Office</v>
      </c>
      <c r="J21" s="5" t="str">
        <f>IFERROR(__xludf.DUMMYFUNCTION("""COMPUTED_VALUE"""),"Meetings")</f>
        <v>Meetings</v>
      </c>
      <c r="K21" s="5" t="str">
        <f>Vlookup(F21,Card_Details!$A$2:$B$3,2,FALSE)</f>
        <v>Bengaluru</v>
      </c>
    </row>
    <row r="22">
      <c r="A22" s="9" t="s">
        <v>67</v>
      </c>
      <c r="B22" s="10" t="s">
        <v>68</v>
      </c>
      <c r="C22" s="9">
        <v>52350.0</v>
      </c>
      <c r="D22" s="5">
        <f>IFERROR(__xludf.DUMMYFUNCTION("split(B22,""/"")"),9.0)</f>
        <v>9</v>
      </c>
      <c r="E22" s="5" t="str">
        <f>IFERROR(__xludf.DUMMYFUNCTION("""COMPUTED_VALUE"""),"January-Office-Travel")</f>
        <v>January-Office-Travel</v>
      </c>
      <c r="F22" s="5">
        <f>IFERROR(__xludf.DUMMYFUNCTION("""COMPUTED_VALUE"""),4833.0)</f>
        <v>4833</v>
      </c>
      <c r="G22" s="5">
        <f t="shared" si="1"/>
        <v>4833</v>
      </c>
      <c r="H22" s="5" t="str">
        <f>IFERROR(__xludf.DUMMYFUNCTION("split(E22,""-"")"),"January")</f>
        <v>January</v>
      </c>
      <c r="I22" s="5" t="str">
        <f>IFERROR(__xludf.DUMMYFUNCTION("""COMPUTED_VALUE"""),"Office")</f>
        <v>Office</v>
      </c>
      <c r="J22" s="5" t="str">
        <f>IFERROR(__xludf.DUMMYFUNCTION("""COMPUTED_VALUE"""),"Travel")</f>
        <v>Travel</v>
      </c>
      <c r="K22" s="5" t="str">
        <f>Vlookup(F22,Card_Details!$A$2:$B$3,2,FALSE)</f>
        <v>Bengaluru</v>
      </c>
    </row>
    <row r="23">
      <c r="A23" s="9" t="s">
        <v>69</v>
      </c>
      <c r="B23" s="10" t="s">
        <v>70</v>
      </c>
      <c r="C23" s="9">
        <v>12550.0</v>
      </c>
      <c r="D23" s="5">
        <f>IFERROR(__xludf.DUMMYFUNCTION("split(B23,""/"")"),10.0)</f>
        <v>10</v>
      </c>
      <c r="E23" s="5" t="str">
        <f>IFERROR(__xludf.DUMMYFUNCTION("""COMPUTED_VALUE"""),"January-Office-Insurance")</f>
        <v>January-Office-Insurance</v>
      </c>
      <c r="F23" s="5">
        <f>IFERROR(__xludf.DUMMYFUNCTION("""COMPUTED_VALUE"""),4833.0)</f>
        <v>4833</v>
      </c>
      <c r="G23" s="5">
        <f t="shared" si="1"/>
        <v>4833</v>
      </c>
      <c r="H23" s="5" t="str">
        <f>IFERROR(__xludf.DUMMYFUNCTION("split(E23,""-"")"),"January")</f>
        <v>January</v>
      </c>
      <c r="I23" s="5" t="str">
        <f>IFERROR(__xludf.DUMMYFUNCTION("""COMPUTED_VALUE"""),"Office")</f>
        <v>Office</v>
      </c>
      <c r="J23" s="5" t="str">
        <f>IFERROR(__xludf.DUMMYFUNCTION("""COMPUTED_VALUE"""),"Insurance")</f>
        <v>Insurance</v>
      </c>
      <c r="K23" s="5" t="str">
        <f>Vlookup(F23,Card_Details!$A$2:$B$3,2,FALSE)</f>
        <v>Bengaluru</v>
      </c>
    </row>
    <row r="24">
      <c r="A24" s="9" t="s">
        <v>71</v>
      </c>
      <c r="B24" s="10" t="s">
        <v>72</v>
      </c>
      <c r="C24" s="9">
        <v>86000.0</v>
      </c>
      <c r="D24" s="5">
        <f>IFERROR(__xludf.DUMMYFUNCTION("split(B24,""/"")"),1.0)</f>
        <v>1</v>
      </c>
      <c r="E24" s="5" t="str">
        <f>IFERROR(__xludf.DUMMYFUNCTION("""COMPUTED_VALUE"""),"January-Office-Printing")</f>
        <v>January-Office-Printing</v>
      </c>
      <c r="F24" s="5">
        <f>IFERROR(__xludf.DUMMYFUNCTION("""COMPUTED_VALUE"""),4833.0)</f>
        <v>4833</v>
      </c>
      <c r="G24" s="5">
        <f t="shared" si="1"/>
        <v>4833</v>
      </c>
      <c r="H24" s="5" t="str">
        <f>IFERROR(__xludf.DUMMYFUNCTION("split(E24,""-"")"),"January")</f>
        <v>January</v>
      </c>
      <c r="I24" s="5" t="str">
        <f>IFERROR(__xludf.DUMMYFUNCTION("""COMPUTED_VALUE"""),"Office")</f>
        <v>Office</v>
      </c>
      <c r="J24" s="5" t="str">
        <f>IFERROR(__xludf.DUMMYFUNCTION("""COMPUTED_VALUE"""),"Printing")</f>
        <v>Printing</v>
      </c>
      <c r="K24" s="5" t="str">
        <f>Vlookup(F24,Card_Details!$A$2:$B$3,2,FALSE)</f>
        <v>Bengaluru</v>
      </c>
    </row>
    <row r="25">
      <c r="A25" s="9" t="s">
        <v>73</v>
      </c>
      <c r="B25" s="10" t="s">
        <v>74</v>
      </c>
      <c r="C25" s="9">
        <v>54000.0</v>
      </c>
      <c r="D25" s="5">
        <f>IFERROR(__xludf.DUMMYFUNCTION("split(B25,""/"")"),2.0)</f>
        <v>2</v>
      </c>
      <c r="E25" s="5" t="str">
        <f>IFERROR(__xludf.DUMMYFUNCTION("""COMPUTED_VALUE"""),"January-Office-Utilities")</f>
        <v>January-Office-Utilities</v>
      </c>
      <c r="F25" s="5">
        <f>IFERROR(__xludf.DUMMYFUNCTION("""COMPUTED_VALUE"""),4833.0)</f>
        <v>4833</v>
      </c>
      <c r="G25" s="5">
        <f t="shared" si="1"/>
        <v>4833</v>
      </c>
      <c r="H25" s="5" t="str">
        <f>IFERROR(__xludf.DUMMYFUNCTION("split(E25,""-"")"),"January")</f>
        <v>January</v>
      </c>
      <c r="I25" s="5" t="str">
        <f>IFERROR(__xludf.DUMMYFUNCTION("""COMPUTED_VALUE"""),"Office")</f>
        <v>Office</v>
      </c>
      <c r="J25" s="5" t="str">
        <f>IFERROR(__xludf.DUMMYFUNCTION("""COMPUTED_VALUE"""),"Utilities")</f>
        <v>Utilities</v>
      </c>
      <c r="K25" s="5" t="str">
        <f>Vlookup(F25,Card_Details!$A$2:$B$3,2,FALSE)</f>
        <v>Bengaluru</v>
      </c>
    </row>
    <row r="26">
      <c r="A26" s="9" t="s">
        <v>75</v>
      </c>
      <c r="B26" s="10" t="s">
        <v>76</v>
      </c>
      <c r="C26" s="9">
        <v>91255.0</v>
      </c>
      <c r="D26" s="5">
        <f>IFERROR(__xludf.DUMMYFUNCTION("split(B26,""/"")"),3.0)</f>
        <v>3</v>
      </c>
      <c r="E26" s="5" t="str">
        <f>IFERROR(__xludf.DUMMYFUNCTION("""COMPUTED_VALUE"""),"January-Office-Stationery")</f>
        <v>January-Office-Stationery</v>
      </c>
      <c r="F26" s="5">
        <f>IFERROR(__xludf.DUMMYFUNCTION("""COMPUTED_VALUE"""),4833.0)</f>
        <v>4833</v>
      </c>
      <c r="G26" s="5">
        <f t="shared" si="1"/>
        <v>4833</v>
      </c>
      <c r="H26" s="5" t="str">
        <f>IFERROR(__xludf.DUMMYFUNCTION("split(E26,""-"")"),"January")</f>
        <v>January</v>
      </c>
      <c r="I26" s="5" t="str">
        <f>IFERROR(__xludf.DUMMYFUNCTION("""COMPUTED_VALUE"""),"Office")</f>
        <v>Office</v>
      </c>
      <c r="J26" s="5" t="str">
        <f>IFERROR(__xludf.DUMMYFUNCTION("""COMPUTED_VALUE"""),"Stationery")</f>
        <v>Stationery</v>
      </c>
      <c r="K26" s="5" t="str">
        <f>Vlookup(F26,Card_Details!$A$2:$B$3,2,FALSE)</f>
        <v>Bengaluru</v>
      </c>
    </row>
    <row r="27">
      <c r="A27" s="9" t="s">
        <v>77</v>
      </c>
      <c r="B27" s="10" t="s">
        <v>78</v>
      </c>
      <c r="C27" s="9">
        <v>141485.0</v>
      </c>
      <c r="D27" s="5">
        <f>IFERROR(__xludf.DUMMYFUNCTION("split(B27,""/"")"),4.0)</f>
        <v>4</v>
      </c>
      <c r="E27" s="5" t="str">
        <f>IFERROR(__xludf.DUMMYFUNCTION("""COMPUTED_VALUE"""),"January-Office-Internet")</f>
        <v>January-Office-Internet</v>
      </c>
      <c r="F27" s="5">
        <f>IFERROR(__xludf.DUMMYFUNCTION("""COMPUTED_VALUE"""),4833.0)</f>
        <v>4833</v>
      </c>
      <c r="G27" s="5">
        <f t="shared" si="1"/>
        <v>4833</v>
      </c>
      <c r="H27" s="5" t="str">
        <f>IFERROR(__xludf.DUMMYFUNCTION("split(E27,""-"")"),"January")</f>
        <v>January</v>
      </c>
      <c r="I27" s="5" t="str">
        <f>IFERROR(__xludf.DUMMYFUNCTION("""COMPUTED_VALUE"""),"Office")</f>
        <v>Office</v>
      </c>
      <c r="J27" s="5" t="str">
        <f>IFERROR(__xludf.DUMMYFUNCTION("""COMPUTED_VALUE"""),"Internet")</f>
        <v>Internet</v>
      </c>
      <c r="K27" s="5" t="str">
        <f>Vlookup(F27,Card_Details!$A$2:$B$3,2,FALSE)</f>
        <v>Bengaluru</v>
      </c>
    </row>
    <row r="28">
      <c r="A28" s="9" t="s">
        <v>79</v>
      </c>
      <c r="B28" s="10" t="s">
        <v>80</v>
      </c>
      <c r="C28" s="9">
        <v>130802.0</v>
      </c>
      <c r="D28" s="5">
        <f>IFERROR(__xludf.DUMMYFUNCTION("split(B28,""/"")"),5.0)</f>
        <v>5</v>
      </c>
      <c r="E28" s="5" t="str">
        <f>IFERROR(__xludf.DUMMYFUNCTION("""COMPUTED_VALUE"""),"January-Office-Equipment")</f>
        <v>January-Office-Equipment</v>
      </c>
      <c r="F28" s="5">
        <f>IFERROR(__xludf.DUMMYFUNCTION("""COMPUTED_VALUE"""),4833.0)</f>
        <v>4833</v>
      </c>
      <c r="G28" s="5">
        <f t="shared" si="1"/>
        <v>4833</v>
      </c>
      <c r="H28" s="5" t="str">
        <f>IFERROR(__xludf.DUMMYFUNCTION("split(E28,""-"")"),"January")</f>
        <v>January</v>
      </c>
      <c r="I28" s="5" t="str">
        <f>IFERROR(__xludf.DUMMYFUNCTION("""COMPUTED_VALUE"""),"Office")</f>
        <v>Office</v>
      </c>
      <c r="J28" s="5" t="str">
        <f>IFERROR(__xludf.DUMMYFUNCTION("""COMPUTED_VALUE"""),"Equipment")</f>
        <v>Equipment</v>
      </c>
      <c r="K28" s="5" t="str">
        <f>Vlookup(F28,Card_Details!$A$2:$B$3,2,FALSE)</f>
        <v>Bengaluru</v>
      </c>
    </row>
    <row r="29">
      <c r="A29" s="9" t="s">
        <v>81</v>
      </c>
      <c r="B29" s="10" t="s">
        <v>82</v>
      </c>
      <c r="C29" s="9">
        <v>30663.0</v>
      </c>
      <c r="D29" s="5">
        <f>IFERROR(__xludf.DUMMYFUNCTION("split(B29,""/"")"),6.0)</f>
        <v>6</v>
      </c>
      <c r="E29" s="5" t="str">
        <f>IFERROR(__xludf.DUMMYFUNCTION("""COMPUTED_VALUE"""),"January-Office-Meetings")</f>
        <v>January-Office-Meetings</v>
      </c>
      <c r="F29" s="5">
        <f>IFERROR(__xludf.DUMMYFUNCTION("""COMPUTED_VALUE"""),5554.0)</f>
        <v>5554</v>
      </c>
      <c r="G29" s="5">
        <f t="shared" si="1"/>
        <v>5554</v>
      </c>
      <c r="H29" s="5" t="str">
        <f>IFERROR(__xludf.DUMMYFUNCTION("split(E29,""-"")"),"January")</f>
        <v>January</v>
      </c>
      <c r="I29" s="5" t="str">
        <f>IFERROR(__xludf.DUMMYFUNCTION("""COMPUTED_VALUE"""),"Office")</f>
        <v>Office</v>
      </c>
      <c r="J29" s="5" t="str">
        <f>IFERROR(__xludf.DUMMYFUNCTION("""COMPUTED_VALUE"""),"Meetings")</f>
        <v>Meetings</v>
      </c>
      <c r="K29" s="5" t="str">
        <f>Vlookup(F29,Card_Details!$A$2:$B$3,2,FALSE)</f>
        <v>Kolkata</v>
      </c>
    </row>
    <row r="30">
      <c r="A30" s="9" t="s">
        <v>83</v>
      </c>
      <c r="B30" s="10" t="s">
        <v>84</v>
      </c>
      <c r="C30" s="9">
        <v>108537.0</v>
      </c>
      <c r="D30" s="5">
        <f>IFERROR(__xludf.DUMMYFUNCTION("split(B30,""/"")"),7.0)</f>
        <v>7</v>
      </c>
      <c r="E30" s="5" t="str">
        <f>IFERROR(__xludf.DUMMYFUNCTION("""COMPUTED_VALUE"""),"January-Office-Travel")</f>
        <v>January-Office-Travel</v>
      </c>
      <c r="F30" s="5">
        <f>IFERROR(__xludf.DUMMYFUNCTION("""COMPUTED_VALUE"""),4833.0)</f>
        <v>4833</v>
      </c>
      <c r="G30" s="5">
        <f t="shared" si="1"/>
        <v>4833</v>
      </c>
      <c r="H30" s="5" t="str">
        <f>IFERROR(__xludf.DUMMYFUNCTION("split(E30,""-"")"),"January")</f>
        <v>January</v>
      </c>
      <c r="I30" s="5" t="str">
        <f>IFERROR(__xludf.DUMMYFUNCTION("""COMPUTED_VALUE"""),"Office")</f>
        <v>Office</v>
      </c>
      <c r="J30" s="5" t="str">
        <f>IFERROR(__xludf.DUMMYFUNCTION("""COMPUTED_VALUE"""),"Travel")</f>
        <v>Travel</v>
      </c>
      <c r="K30" s="5" t="str">
        <f>Vlookup(F30,Card_Details!$A$2:$B$3,2,FALSE)</f>
        <v>Bengaluru</v>
      </c>
    </row>
    <row r="31">
      <c r="A31" s="9" t="s">
        <v>85</v>
      </c>
      <c r="B31" s="10" t="s">
        <v>86</v>
      </c>
      <c r="C31" s="9">
        <v>25259.0</v>
      </c>
      <c r="D31" s="5">
        <f>IFERROR(__xludf.DUMMYFUNCTION("split(B31,""/"")"),8.0)</f>
        <v>8</v>
      </c>
      <c r="E31" s="5" t="str">
        <f>IFERROR(__xludf.DUMMYFUNCTION("""COMPUTED_VALUE"""),"January-Office-Insurance")</f>
        <v>January-Office-Insurance</v>
      </c>
      <c r="F31" s="5">
        <f>IFERROR(__xludf.DUMMYFUNCTION("""COMPUTED_VALUE"""),4833.0)</f>
        <v>4833</v>
      </c>
      <c r="G31" s="5">
        <f t="shared" si="1"/>
        <v>4833</v>
      </c>
      <c r="H31" s="5" t="str">
        <f>IFERROR(__xludf.DUMMYFUNCTION("split(E31,""-"")"),"January")</f>
        <v>January</v>
      </c>
      <c r="I31" s="5" t="str">
        <f>IFERROR(__xludf.DUMMYFUNCTION("""COMPUTED_VALUE"""),"Office")</f>
        <v>Office</v>
      </c>
      <c r="J31" s="5" t="str">
        <f>IFERROR(__xludf.DUMMYFUNCTION("""COMPUTED_VALUE"""),"Insurance")</f>
        <v>Insurance</v>
      </c>
      <c r="K31" s="5" t="str">
        <f>Vlookup(F31,Card_Details!$A$2:$B$3,2,FALSE)</f>
        <v>Bengaluru</v>
      </c>
    </row>
    <row r="32">
      <c r="A32" s="9" t="s">
        <v>87</v>
      </c>
      <c r="B32" s="10" t="s">
        <v>88</v>
      </c>
      <c r="C32" s="9">
        <v>98000.0</v>
      </c>
      <c r="D32" s="5">
        <f>IFERROR(__xludf.DUMMYFUNCTION("split(B32,""/"")"),9.0)</f>
        <v>9</v>
      </c>
      <c r="E32" s="5" t="str">
        <f>IFERROR(__xludf.DUMMYFUNCTION("""COMPUTED_VALUE"""),"January-Office-Education")</f>
        <v>January-Office-Education</v>
      </c>
      <c r="F32" s="5">
        <f>IFERROR(__xludf.DUMMYFUNCTION("""COMPUTED_VALUE"""),5554.0)</f>
        <v>5554</v>
      </c>
      <c r="G32" s="5">
        <f t="shared" si="1"/>
        <v>5554</v>
      </c>
      <c r="H32" s="5" t="str">
        <f>IFERROR(__xludf.DUMMYFUNCTION("split(E32,""-"")"),"January")</f>
        <v>January</v>
      </c>
      <c r="I32" s="5" t="str">
        <f>IFERROR(__xludf.DUMMYFUNCTION("""COMPUTED_VALUE"""),"Office")</f>
        <v>Office</v>
      </c>
      <c r="J32" s="5" t="str">
        <f>IFERROR(__xludf.DUMMYFUNCTION("""COMPUTED_VALUE"""),"Education")</f>
        <v>Education</v>
      </c>
      <c r="K32" s="5" t="str">
        <f>Vlookup(F32,Card_Details!$A$2:$B$3,2,FALSE)</f>
        <v>Kolkata</v>
      </c>
    </row>
    <row r="33">
      <c r="A33" s="9" t="s">
        <v>89</v>
      </c>
      <c r="B33" s="10" t="s">
        <v>90</v>
      </c>
      <c r="C33" s="9">
        <v>72000.0</v>
      </c>
      <c r="D33" s="5">
        <f>IFERROR(__xludf.DUMMYFUNCTION("split(B33,""/"")"),10.0)</f>
        <v>10</v>
      </c>
      <c r="E33" s="5" t="str">
        <f>IFERROR(__xludf.DUMMYFUNCTION("""COMPUTED_VALUE"""),"January-Office-Telecommunications")</f>
        <v>January-Office-Telecommunications</v>
      </c>
      <c r="F33" s="5">
        <f>IFERROR(__xludf.DUMMYFUNCTION("""COMPUTED_VALUE"""),4833.0)</f>
        <v>4833</v>
      </c>
      <c r="G33" s="5">
        <f t="shared" si="1"/>
        <v>4833</v>
      </c>
      <c r="H33" s="5" t="str">
        <f>IFERROR(__xludf.DUMMYFUNCTION("split(E33,""-"")"),"January")</f>
        <v>January</v>
      </c>
      <c r="I33" s="5" t="str">
        <f>IFERROR(__xludf.DUMMYFUNCTION("""COMPUTED_VALUE"""),"Office")</f>
        <v>Office</v>
      </c>
      <c r="J33" s="5" t="str">
        <f>IFERROR(__xludf.DUMMYFUNCTION("""COMPUTED_VALUE"""),"Telecommunications")</f>
        <v>Telecommunications</v>
      </c>
      <c r="K33" s="5" t="str">
        <f>Vlookup(F33,Card_Details!$A$2:$B$3,2,FALSE)</f>
        <v>Bengaluru</v>
      </c>
    </row>
    <row r="34">
      <c r="A34" s="9" t="s">
        <v>91</v>
      </c>
      <c r="B34" s="10" t="s">
        <v>92</v>
      </c>
      <c r="C34" s="9">
        <v>29700.0</v>
      </c>
      <c r="D34" s="5">
        <f>IFERROR(__xludf.DUMMYFUNCTION("split(B34,""/"")"),11.0)</f>
        <v>11</v>
      </c>
      <c r="E34" s="5" t="str">
        <f>IFERROR(__xludf.DUMMYFUNCTION("""COMPUTED_VALUE"""),"January-Office-Education")</f>
        <v>January-Office-Education</v>
      </c>
      <c r="F34" s="5">
        <f>IFERROR(__xludf.DUMMYFUNCTION("""COMPUTED_VALUE"""),4833.0)</f>
        <v>4833</v>
      </c>
      <c r="G34" s="5">
        <f t="shared" si="1"/>
        <v>4833</v>
      </c>
      <c r="H34" s="5" t="str">
        <f>IFERROR(__xludf.DUMMYFUNCTION("split(E34,""-"")"),"January")</f>
        <v>January</v>
      </c>
      <c r="I34" s="5" t="str">
        <f>IFERROR(__xludf.DUMMYFUNCTION("""COMPUTED_VALUE"""),"Office")</f>
        <v>Office</v>
      </c>
      <c r="J34" s="5" t="str">
        <f>IFERROR(__xludf.DUMMYFUNCTION("""COMPUTED_VALUE"""),"Education")</f>
        <v>Education</v>
      </c>
      <c r="K34" s="5" t="str">
        <f>Vlookup(F34,Card_Details!$A$2:$B$3,2,FALSE)</f>
        <v>Bengaluru</v>
      </c>
    </row>
    <row r="35">
      <c r="A35" s="9" t="s">
        <v>93</v>
      </c>
      <c r="B35" s="10" t="s">
        <v>94</v>
      </c>
      <c r="C35" s="9">
        <v>28750.0</v>
      </c>
      <c r="D35" s="5">
        <f>IFERROR(__xludf.DUMMYFUNCTION("split(B35,""/"")"),12.0)</f>
        <v>12</v>
      </c>
      <c r="E35" s="5" t="str">
        <f>IFERROR(__xludf.DUMMYFUNCTION("""COMPUTED_VALUE"""),"January-Office-Telecommunications")</f>
        <v>January-Office-Telecommunications</v>
      </c>
      <c r="F35" s="5">
        <f>IFERROR(__xludf.DUMMYFUNCTION("""COMPUTED_VALUE"""),4833.0)</f>
        <v>4833</v>
      </c>
      <c r="G35" s="5">
        <f t="shared" si="1"/>
        <v>4833</v>
      </c>
      <c r="H35" s="5" t="str">
        <f>IFERROR(__xludf.DUMMYFUNCTION("split(E35,""-"")"),"January")</f>
        <v>January</v>
      </c>
      <c r="I35" s="5" t="str">
        <f>IFERROR(__xludf.DUMMYFUNCTION("""COMPUTED_VALUE"""),"Office")</f>
        <v>Office</v>
      </c>
      <c r="J35" s="5" t="str">
        <f>IFERROR(__xludf.DUMMYFUNCTION("""COMPUTED_VALUE"""),"Telecommunications")</f>
        <v>Telecommunications</v>
      </c>
      <c r="K35" s="5" t="str">
        <f>Vlookup(F35,Card_Details!$A$2:$B$3,2,FALSE)</f>
        <v>Bengaluru</v>
      </c>
    </row>
    <row r="36">
      <c r="A36" s="9" t="s">
        <v>95</v>
      </c>
      <c r="B36" s="10" t="s">
        <v>96</v>
      </c>
      <c r="C36" s="9">
        <v>20800.0</v>
      </c>
      <c r="D36" s="5">
        <f>IFERROR(__xludf.DUMMYFUNCTION("split(B36,""/"")"),13.0)</f>
        <v>13</v>
      </c>
      <c r="E36" s="5" t="str">
        <f>IFERROR(__xludf.DUMMYFUNCTION("""COMPUTED_VALUE"""),"February-Office-Supplies")</f>
        <v>February-Office-Supplies</v>
      </c>
      <c r="F36" s="5">
        <f>IFERROR(__xludf.DUMMYFUNCTION("""COMPUTED_VALUE"""),4833.0)</f>
        <v>4833</v>
      </c>
      <c r="G36" s="5">
        <f t="shared" si="1"/>
        <v>4833</v>
      </c>
      <c r="H36" s="5" t="str">
        <f>IFERROR(__xludf.DUMMYFUNCTION("split(E36,""-"")"),"February")</f>
        <v>February</v>
      </c>
      <c r="I36" s="5" t="str">
        <f>IFERROR(__xludf.DUMMYFUNCTION("""COMPUTED_VALUE"""),"Office")</f>
        <v>Office</v>
      </c>
      <c r="J36" s="5" t="str">
        <f>IFERROR(__xludf.DUMMYFUNCTION("""COMPUTED_VALUE"""),"Supplies")</f>
        <v>Supplies</v>
      </c>
      <c r="K36" s="5" t="str">
        <f>Vlookup(F36,Card_Details!$A$2:$B$3,2,FALSE)</f>
        <v>Bengaluru</v>
      </c>
    </row>
    <row r="37">
      <c r="A37" s="9" t="s">
        <v>97</v>
      </c>
      <c r="B37" s="10" t="s">
        <v>98</v>
      </c>
      <c r="C37" s="9">
        <v>56000.0</v>
      </c>
      <c r="D37" s="5">
        <f>IFERROR(__xludf.DUMMYFUNCTION("split(B37,""/"")"),14.0)</f>
        <v>14</v>
      </c>
      <c r="E37" s="5" t="str">
        <f>IFERROR(__xludf.DUMMYFUNCTION("""COMPUTED_VALUE"""),"February-Office-Rent")</f>
        <v>February-Office-Rent</v>
      </c>
      <c r="F37" s="5">
        <f>IFERROR(__xludf.DUMMYFUNCTION("""COMPUTED_VALUE"""),4833.0)</f>
        <v>4833</v>
      </c>
      <c r="G37" s="5">
        <f t="shared" si="1"/>
        <v>4833</v>
      </c>
      <c r="H37" s="5" t="str">
        <f>IFERROR(__xludf.DUMMYFUNCTION("split(E37,""-"")"),"February")</f>
        <v>February</v>
      </c>
      <c r="I37" s="5" t="str">
        <f>IFERROR(__xludf.DUMMYFUNCTION("""COMPUTED_VALUE"""),"Office")</f>
        <v>Office</v>
      </c>
      <c r="J37" s="5" t="str">
        <f>IFERROR(__xludf.DUMMYFUNCTION("""COMPUTED_VALUE"""),"Rent")</f>
        <v>Rent</v>
      </c>
      <c r="K37" s="5" t="str">
        <f>Vlookup(F37,Card_Details!$A$2:$B$3,2,FALSE)</f>
        <v>Bengaluru</v>
      </c>
    </row>
    <row r="38">
      <c r="A38" s="9" t="s">
        <v>99</v>
      </c>
      <c r="B38" s="10" t="s">
        <v>100</v>
      </c>
      <c r="C38" s="9">
        <v>125346.0</v>
      </c>
      <c r="D38" s="5">
        <f>IFERROR(__xludf.DUMMYFUNCTION("split(B38,""/"")"),15.0)</f>
        <v>15</v>
      </c>
      <c r="E38" s="5" t="str">
        <f>IFERROR(__xludf.DUMMYFUNCTION("""COMPUTED_VALUE"""),"February-Office-Printing")</f>
        <v>February-Office-Printing</v>
      </c>
      <c r="F38" s="5">
        <f>IFERROR(__xludf.DUMMYFUNCTION("""COMPUTED_VALUE"""),4833.0)</f>
        <v>4833</v>
      </c>
      <c r="G38" s="5">
        <f t="shared" si="1"/>
        <v>4833</v>
      </c>
      <c r="H38" s="5" t="str">
        <f>IFERROR(__xludf.DUMMYFUNCTION("split(E38,""-"")"),"February")</f>
        <v>February</v>
      </c>
      <c r="I38" s="5" t="str">
        <f>IFERROR(__xludf.DUMMYFUNCTION("""COMPUTED_VALUE"""),"Office")</f>
        <v>Office</v>
      </c>
      <c r="J38" s="5" t="str">
        <f>IFERROR(__xludf.DUMMYFUNCTION("""COMPUTED_VALUE"""),"Printing")</f>
        <v>Printing</v>
      </c>
      <c r="K38" s="5" t="str">
        <f>Vlookup(F38,Card_Details!$A$2:$B$3,2,FALSE)</f>
        <v>Bengaluru</v>
      </c>
    </row>
    <row r="39">
      <c r="A39" s="9" t="s">
        <v>101</v>
      </c>
      <c r="B39" s="10" t="s">
        <v>102</v>
      </c>
      <c r="C39" s="9">
        <v>138005.0</v>
      </c>
      <c r="D39" s="5">
        <f>IFERROR(__xludf.DUMMYFUNCTION("split(B39,""/"")"),16.0)</f>
        <v>16</v>
      </c>
      <c r="E39" s="5" t="str">
        <f>IFERROR(__xludf.DUMMYFUNCTION("""COMPUTED_VALUE"""),"February-Office-Utilities")</f>
        <v>February-Office-Utilities</v>
      </c>
      <c r="F39" s="5">
        <f>IFERROR(__xludf.DUMMYFUNCTION("""COMPUTED_VALUE"""),4833.0)</f>
        <v>4833</v>
      </c>
      <c r="G39" s="5">
        <f t="shared" si="1"/>
        <v>4833</v>
      </c>
      <c r="H39" s="5" t="str">
        <f>IFERROR(__xludf.DUMMYFUNCTION("split(E39,""-"")"),"February")</f>
        <v>February</v>
      </c>
      <c r="I39" s="5" t="str">
        <f>IFERROR(__xludf.DUMMYFUNCTION("""COMPUTED_VALUE"""),"Office")</f>
        <v>Office</v>
      </c>
      <c r="J39" s="5" t="str">
        <f>IFERROR(__xludf.DUMMYFUNCTION("""COMPUTED_VALUE"""),"Utilities")</f>
        <v>Utilities</v>
      </c>
      <c r="K39" s="5" t="str">
        <f>Vlookup(F39,Card_Details!$A$2:$B$3,2,FALSE)</f>
        <v>Bengaluru</v>
      </c>
    </row>
    <row r="40">
      <c r="A40" s="9" t="s">
        <v>103</v>
      </c>
      <c r="B40" s="10" t="s">
        <v>104</v>
      </c>
      <c r="C40" s="9">
        <v>127227.0</v>
      </c>
      <c r="D40" s="5">
        <f>IFERROR(__xludf.DUMMYFUNCTION("split(B40,""/"")"),17.0)</f>
        <v>17</v>
      </c>
      <c r="E40" s="5" t="str">
        <f>IFERROR(__xludf.DUMMYFUNCTION("""COMPUTED_VALUE"""),"February-Office-Stationery")</f>
        <v>February-Office-Stationery</v>
      </c>
      <c r="F40" s="5">
        <f>IFERROR(__xludf.DUMMYFUNCTION("""COMPUTED_VALUE"""),5554.0)</f>
        <v>5554</v>
      </c>
      <c r="G40" s="5">
        <f t="shared" si="1"/>
        <v>5554</v>
      </c>
      <c r="H40" s="5" t="str">
        <f>IFERROR(__xludf.DUMMYFUNCTION("split(E40,""-"")"),"February")</f>
        <v>February</v>
      </c>
      <c r="I40" s="5" t="str">
        <f>IFERROR(__xludf.DUMMYFUNCTION("""COMPUTED_VALUE"""),"Office")</f>
        <v>Office</v>
      </c>
      <c r="J40" s="5" t="str">
        <f>IFERROR(__xludf.DUMMYFUNCTION("""COMPUTED_VALUE"""),"Stationery")</f>
        <v>Stationery</v>
      </c>
      <c r="K40" s="5" t="str">
        <f>Vlookup(F40,Card_Details!$A$2:$B$3,2,FALSE)</f>
        <v>Kolkata</v>
      </c>
    </row>
    <row r="41">
      <c r="A41" s="9" t="s">
        <v>105</v>
      </c>
      <c r="B41" s="10" t="s">
        <v>106</v>
      </c>
      <c r="C41" s="9">
        <v>14533.0</v>
      </c>
      <c r="D41" s="5">
        <f>IFERROR(__xludf.DUMMYFUNCTION("split(B41,""/"")"),18.0)</f>
        <v>18</v>
      </c>
      <c r="E41" s="5" t="str">
        <f>IFERROR(__xludf.DUMMYFUNCTION("""COMPUTED_VALUE"""),"February-Office-Internet")</f>
        <v>February-Office-Internet</v>
      </c>
      <c r="F41" s="5">
        <f>IFERROR(__xludf.DUMMYFUNCTION("""COMPUTED_VALUE"""),4833.0)</f>
        <v>4833</v>
      </c>
      <c r="G41" s="5">
        <f t="shared" si="1"/>
        <v>4833</v>
      </c>
      <c r="H41" s="5" t="str">
        <f>IFERROR(__xludf.DUMMYFUNCTION("split(E41,""-"")"),"February")</f>
        <v>February</v>
      </c>
      <c r="I41" s="5" t="str">
        <f>IFERROR(__xludf.DUMMYFUNCTION("""COMPUTED_VALUE"""),"Office")</f>
        <v>Office</v>
      </c>
      <c r="J41" s="5" t="str">
        <f>IFERROR(__xludf.DUMMYFUNCTION("""COMPUTED_VALUE"""),"Internet")</f>
        <v>Internet</v>
      </c>
      <c r="K41" s="5" t="str">
        <f>Vlookup(F41,Card_Details!$A$2:$B$3,2,FALSE)</f>
        <v>Bengaluru</v>
      </c>
    </row>
    <row r="42">
      <c r="A42" s="9" t="s">
        <v>107</v>
      </c>
      <c r="B42" s="10" t="s">
        <v>108</v>
      </c>
      <c r="C42" s="9">
        <v>123309.0</v>
      </c>
      <c r="D42" s="5">
        <f>IFERROR(__xludf.DUMMYFUNCTION("split(B42,""/"")"),19.0)</f>
        <v>19</v>
      </c>
      <c r="E42" s="5" t="str">
        <f>IFERROR(__xludf.DUMMYFUNCTION("""COMPUTED_VALUE"""),"February-Office-Equipment")</f>
        <v>February-Office-Equipment</v>
      </c>
      <c r="F42" s="5">
        <f>IFERROR(__xludf.DUMMYFUNCTION("""COMPUTED_VALUE"""),5554.0)</f>
        <v>5554</v>
      </c>
      <c r="G42" s="5">
        <f t="shared" si="1"/>
        <v>5554</v>
      </c>
      <c r="H42" s="5" t="str">
        <f>IFERROR(__xludf.DUMMYFUNCTION("split(E42,""-"")"),"February")</f>
        <v>February</v>
      </c>
      <c r="I42" s="5" t="str">
        <f>IFERROR(__xludf.DUMMYFUNCTION("""COMPUTED_VALUE"""),"Office")</f>
        <v>Office</v>
      </c>
      <c r="J42" s="5" t="str">
        <f>IFERROR(__xludf.DUMMYFUNCTION("""COMPUTED_VALUE"""),"Equipment")</f>
        <v>Equipment</v>
      </c>
      <c r="K42" s="5" t="str">
        <f>Vlookup(F42,Card_Details!$A$2:$B$3,2,FALSE)</f>
        <v>Kolkata</v>
      </c>
    </row>
    <row r="43">
      <c r="A43" s="9" t="s">
        <v>109</v>
      </c>
      <c r="B43" s="10" t="s">
        <v>110</v>
      </c>
      <c r="C43" s="9">
        <v>94485.0</v>
      </c>
      <c r="D43" s="5">
        <f>IFERROR(__xludf.DUMMYFUNCTION("split(B43,""/"")"),20.0)</f>
        <v>20</v>
      </c>
      <c r="E43" s="5" t="str">
        <f>IFERROR(__xludf.DUMMYFUNCTION("""COMPUTED_VALUE"""),"February-Office-Meetings")</f>
        <v>February-Office-Meetings</v>
      </c>
      <c r="F43" s="5">
        <f>IFERROR(__xludf.DUMMYFUNCTION("""COMPUTED_VALUE"""),4833.0)</f>
        <v>4833</v>
      </c>
      <c r="G43" s="5">
        <f t="shared" si="1"/>
        <v>4833</v>
      </c>
      <c r="H43" s="5" t="str">
        <f>IFERROR(__xludf.DUMMYFUNCTION("split(E43,""-"")"),"February")</f>
        <v>February</v>
      </c>
      <c r="I43" s="5" t="str">
        <f>IFERROR(__xludf.DUMMYFUNCTION("""COMPUTED_VALUE"""),"Office")</f>
        <v>Office</v>
      </c>
      <c r="J43" s="5" t="str">
        <f>IFERROR(__xludf.DUMMYFUNCTION("""COMPUTED_VALUE"""),"Meetings")</f>
        <v>Meetings</v>
      </c>
      <c r="K43" s="5" t="str">
        <f>Vlookup(F43,Card_Details!$A$2:$B$3,2,FALSE)</f>
        <v>Bengaluru</v>
      </c>
    </row>
    <row r="44">
      <c r="A44" s="9" t="s">
        <v>111</v>
      </c>
      <c r="B44" s="10" t="s">
        <v>112</v>
      </c>
      <c r="C44" s="9">
        <v>56314.0</v>
      </c>
      <c r="D44" s="5">
        <f>IFERROR(__xludf.DUMMYFUNCTION("split(B44,""/"")"),21.0)</f>
        <v>21</v>
      </c>
      <c r="E44" s="5" t="str">
        <f>IFERROR(__xludf.DUMMYFUNCTION("""COMPUTED_VALUE"""),"February-Office-Travel")</f>
        <v>February-Office-Travel</v>
      </c>
      <c r="F44" s="5">
        <f>IFERROR(__xludf.DUMMYFUNCTION("""COMPUTED_VALUE"""),4833.0)</f>
        <v>4833</v>
      </c>
      <c r="G44" s="5">
        <f t="shared" si="1"/>
        <v>4833</v>
      </c>
      <c r="H44" s="5" t="str">
        <f>IFERROR(__xludf.DUMMYFUNCTION("split(E44,""-"")"),"February")</f>
        <v>February</v>
      </c>
      <c r="I44" s="5" t="str">
        <f>IFERROR(__xludf.DUMMYFUNCTION("""COMPUTED_VALUE"""),"Office")</f>
        <v>Office</v>
      </c>
      <c r="J44" s="5" t="str">
        <f>IFERROR(__xludf.DUMMYFUNCTION("""COMPUTED_VALUE"""),"Travel")</f>
        <v>Travel</v>
      </c>
      <c r="K44" s="5" t="str">
        <f>Vlookup(F44,Card_Details!$A$2:$B$3,2,FALSE)</f>
        <v>Bengaluru</v>
      </c>
    </row>
    <row r="45">
      <c r="A45" s="9" t="s">
        <v>113</v>
      </c>
      <c r="B45" s="10" t="s">
        <v>114</v>
      </c>
      <c r="C45" s="9">
        <v>113056.0</v>
      </c>
      <c r="D45" s="5">
        <f>IFERROR(__xludf.DUMMYFUNCTION("split(B45,""/"")"),22.0)</f>
        <v>22</v>
      </c>
      <c r="E45" s="5" t="str">
        <f>IFERROR(__xludf.DUMMYFUNCTION("""COMPUTED_VALUE"""),"February-Office-Insurance")</f>
        <v>February-Office-Insurance</v>
      </c>
      <c r="F45" s="5">
        <f>IFERROR(__xludf.DUMMYFUNCTION("""COMPUTED_VALUE"""),5554.0)</f>
        <v>5554</v>
      </c>
      <c r="G45" s="5">
        <f t="shared" si="1"/>
        <v>5554</v>
      </c>
      <c r="H45" s="5" t="str">
        <f>IFERROR(__xludf.DUMMYFUNCTION("split(E45,""-"")"),"February")</f>
        <v>February</v>
      </c>
      <c r="I45" s="5" t="str">
        <f>IFERROR(__xludf.DUMMYFUNCTION("""COMPUTED_VALUE"""),"Office")</f>
        <v>Office</v>
      </c>
      <c r="J45" s="5" t="str">
        <f>IFERROR(__xludf.DUMMYFUNCTION("""COMPUTED_VALUE"""),"Insurance")</f>
        <v>Insurance</v>
      </c>
      <c r="K45" s="5" t="str">
        <f>Vlookup(F45,Card_Details!$A$2:$B$3,2,FALSE)</f>
        <v>Kolkata</v>
      </c>
    </row>
    <row r="46">
      <c r="A46" s="9" t="s">
        <v>115</v>
      </c>
      <c r="B46" s="10" t="s">
        <v>116</v>
      </c>
      <c r="C46" s="9">
        <v>53771.0</v>
      </c>
      <c r="D46" s="5">
        <f>IFERROR(__xludf.DUMMYFUNCTION("split(B46,""/"")"),23.0)</f>
        <v>23</v>
      </c>
      <c r="E46" s="5" t="str">
        <f>IFERROR(__xludf.DUMMYFUNCTION("""COMPUTED_VALUE"""),"February-Office-Education")</f>
        <v>February-Office-Education</v>
      </c>
      <c r="F46" s="5">
        <f>IFERROR(__xludf.DUMMYFUNCTION("""COMPUTED_VALUE"""),4833.0)</f>
        <v>4833</v>
      </c>
      <c r="G46" s="5">
        <f t="shared" si="1"/>
        <v>4833</v>
      </c>
      <c r="H46" s="5" t="str">
        <f>IFERROR(__xludf.DUMMYFUNCTION("split(E46,""-"")"),"February")</f>
        <v>February</v>
      </c>
      <c r="I46" s="5" t="str">
        <f>IFERROR(__xludf.DUMMYFUNCTION("""COMPUTED_VALUE"""),"Office")</f>
        <v>Office</v>
      </c>
      <c r="J46" s="5" t="str">
        <f>IFERROR(__xludf.DUMMYFUNCTION("""COMPUTED_VALUE"""),"Education")</f>
        <v>Education</v>
      </c>
      <c r="K46" s="5" t="str">
        <f>Vlookup(F46,Card_Details!$A$2:$B$3,2,FALSE)</f>
        <v>Bengaluru</v>
      </c>
    </row>
    <row r="47">
      <c r="A47" s="9" t="s">
        <v>117</v>
      </c>
      <c r="B47" s="10" t="s">
        <v>118</v>
      </c>
      <c r="C47" s="9">
        <v>56000.0</v>
      </c>
      <c r="D47" s="5">
        <f>IFERROR(__xludf.DUMMYFUNCTION("split(B47,""/"")"),18.0)</f>
        <v>18</v>
      </c>
      <c r="E47" s="5" t="str">
        <f>IFERROR(__xludf.DUMMYFUNCTION("""COMPUTED_VALUE"""),"February-Office-Supplies")</f>
        <v>February-Office-Supplies</v>
      </c>
      <c r="F47" s="5">
        <f>IFERROR(__xludf.DUMMYFUNCTION("""COMPUTED_VALUE"""),4833.0)</f>
        <v>4833</v>
      </c>
      <c r="G47" s="5">
        <f t="shared" si="1"/>
        <v>4833</v>
      </c>
      <c r="H47" s="5" t="str">
        <f>IFERROR(__xludf.DUMMYFUNCTION("split(E47,""-"")"),"February")</f>
        <v>February</v>
      </c>
      <c r="I47" s="5" t="str">
        <f>IFERROR(__xludf.DUMMYFUNCTION("""COMPUTED_VALUE"""),"Office")</f>
        <v>Office</v>
      </c>
      <c r="J47" s="5" t="str">
        <f>IFERROR(__xludf.DUMMYFUNCTION("""COMPUTED_VALUE"""),"Supplies")</f>
        <v>Supplies</v>
      </c>
      <c r="K47" s="5" t="str">
        <f>Vlookup(F47,Card_Details!$A$2:$B$3,2,FALSE)</f>
        <v>Bengaluru</v>
      </c>
    </row>
    <row r="48">
      <c r="A48" s="9" t="s">
        <v>119</v>
      </c>
      <c r="B48" s="10" t="s">
        <v>120</v>
      </c>
      <c r="C48" s="9">
        <v>125346.0</v>
      </c>
      <c r="D48" s="5">
        <f>IFERROR(__xludf.DUMMYFUNCTION("split(B48,""/"")"),19.0)</f>
        <v>19</v>
      </c>
      <c r="E48" s="5" t="str">
        <f>IFERROR(__xludf.DUMMYFUNCTION("""COMPUTED_VALUE"""),"February-Office-Rent")</f>
        <v>February-Office-Rent</v>
      </c>
      <c r="F48" s="5">
        <f>IFERROR(__xludf.DUMMYFUNCTION("""COMPUTED_VALUE"""),5554.0)</f>
        <v>5554</v>
      </c>
      <c r="G48" s="5">
        <f t="shared" si="1"/>
        <v>5554</v>
      </c>
      <c r="H48" s="5" t="str">
        <f>IFERROR(__xludf.DUMMYFUNCTION("split(E48,""-"")"),"February")</f>
        <v>February</v>
      </c>
      <c r="I48" s="5" t="str">
        <f>IFERROR(__xludf.DUMMYFUNCTION("""COMPUTED_VALUE"""),"Office")</f>
        <v>Office</v>
      </c>
      <c r="J48" s="5" t="str">
        <f>IFERROR(__xludf.DUMMYFUNCTION("""COMPUTED_VALUE"""),"Rent")</f>
        <v>Rent</v>
      </c>
      <c r="K48" s="5" t="str">
        <f>Vlookup(F48,Card_Details!$A$2:$B$3,2,FALSE)</f>
        <v>Kolkata</v>
      </c>
    </row>
    <row r="49">
      <c r="A49" s="9" t="s">
        <v>121</v>
      </c>
      <c r="B49" s="10" t="s">
        <v>122</v>
      </c>
      <c r="C49" s="9">
        <v>138005.0</v>
      </c>
      <c r="D49" s="5">
        <f>IFERROR(__xludf.DUMMYFUNCTION("split(B49,""/"")"),20.0)</f>
        <v>20</v>
      </c>
      <c r="E49" s="5" t="str">
        <f>IFERROR(__xludf.DUMMYFUNCTION("""COMPUTED_VALUE"""),"February-Office-Printing")</f>
        <v>February-Office-Printing</v>
      </c>
      <c r="F49" s="5">
        <f>IFERROR(__xludf.DUMMYFUNCTION("""COMPUTED_VALUE"""),4833.0)</f>
        <v>4833</v>
      </c>
      <c r="G49" s="5">
        <f t="shared" si="1"/>
        <v>4833</v>
      </c>
      <c r="H49" s="5" t="str">
        <f>IFERROR(__xludf.DUMMYFUNCTION("split(E49,""-"")"),"February")</f>
        <v>February</v>
      </c>
      <c r="I49" s="5" t="str">
        <f>IFERROR(__xludf.DUMMYFUNCTION("""COMPUTED_VALUE"""),"Office")</f>
        <v>Office</v>
      </c>
      <c r="J49" s="5" t="str">
        <f>IFERROR(__xludf.DUMMYFUNCTION("""COMPUTED_VALUE"""),"Printing")</f>
        <v>Printing</v>
      </c>
      <c r="K49" s="5" t="str">
        <f>Vlookup(F49,Card_Details!$A$2:$B$3,2,FALSE)</f>
        <v>Bengaluru</v>
      </c>
    </row>
    <row r="50">
      <c r="A50" s="9" t="s">
        <v>123</v>
      </c>
      <c r="B50" s="10" t="s">
        <v>124</v>
      </c>
      <c r="C50" s="9">
        <v>127227.0</v>
      </c>
      <c r="D50" s="5">
        <f>IFERROR(__xludf.DUMMYFUNCTION("split(B50,""/"")"),21.0)</f>
        <v>21</v>
      </c>
      <c r="E50" s="5" t="str">
        <f>IFERROR(__xludf.DUMMYFUNCTION("""COMPUTED_VALUE"""),"February-Office-Utilities")</f>
        <v>February-Office-Utilities</v>
      </c>
      <c r="F50" s="5">
        <f>IFERROR(__xludf.DUMMYFUNCTION("""COMPUTED_VALUE"""),4833.0)</f>
        <v>4833</v>
      </c>
      <c r="G50" s="5">
        <f t="shared" si="1"/>
        <v>4833</v>
      </c>
      <c r="H50" s="5" t="str">
        <f>IFERROR(__xludf.DUMMYFUNCTION("split(E50,""-"")"),"February")</f>
        <v>February</v>
      </c>
      <c r="I50" s="5" t="str">
        <f>IFERROR(__xludf.DUMMYFUNCTION("""COMPUTED_VALUE"""),"Office")</f>
        <v>Office</v>
      </c>
      <c r="J50" s="5" t="str">
        <f>IFERROR(__xludf.DUMMYFUNCTION("""COMPUTED_VALUE"""),"Utilities")</f>
        <v>Utilities</v>
      </c>
      <c r="K50" s="5" t="str">
        <f>Vlookup(F50,Card_Details!$A$2:$B$3,2,FALSE)</f>
        <v>Bengaluru</v>
      </c>
    </row>
    <row r="51">
      <c r="A51" s="9" t="s">
        <v>125</v>
      </c>
      <c r="B51" s="10" t="s">
        <v>126</v>
      </c>
      <c r="C51" s="9">
        <v>14533.0</v>
      </c>
      <c r="D51" s="5">
        <f>IFERROR(__xludf.DUMMYFUNCTION("split(B51,""/"")"),22.0)</f>
        <v>22</v>
      </c>
      <c r="E51" s="5" t="str">
        <f>IFERROR(__xludf.DUMMYFUNCTION("""COMPUTED_VALUE"""),"February-Office-Stationery")</f>
        <v>February-Office-Stationery</v>
      </c>
      <c r="F51" s="5">
        <f>IFERROR(__xludf.DUMMYFUNCTION("""COMPUTED_VALUE"""),5554.0)</f>
        <v>5554</v>
      </c>
      <c r="G51" s="5">
        <f t="shared" si="1"/>
        <v>5554</v>
      </c>
      <c r="H51" s="5" t="str">
        <f>IFERROR(__xludf.DUMMYFUNCTION("split(E51,""-"")"),"February")</f>
        <v>February</v>
      </c>
      <c r="I51" s="5" t="str">
        <f>IFERROR(__xludf.DUMMYFUNCTION("""COMPUTED_VALUE"""),"Office")</f>
        <v>Office</v>
      </c>
      <c r="J51" s="5" t="str">
        <f>IFERROR(__xludf.DUMMYFUNCTION("""COMPUTED_VALUE"""),"Stationery")</f>
        <v>Stationery</v>
      </c>
      <c r="K51" s="5" t="str">
        <f>Vlookup(F51,Card_Details!$A$2:$B$3,2,FALSE)</f>
        <v>Kolkata</v>
      </c>
    </row>
    <row r="52">
      <c r="A52" s="9" t="s">
        <v>127</v>
      </c>
      <c r="B52" s="10" t="s">
        <v>128</v>
      </c>
      <c r="C52" s="9">
        <v>123309.0</v>
      </c>
      <c r="D52" s="5">
        <f>IFERROR(__xludf.DUMMYFUNCTION("split(B52,""/"")"),23.0)</f>
        <v>23</v>
      </c>
      <c r="E52" s="5" t="str">
        <f>IFERROR(__xludf.DUMMYFUNCTION("""COMPUTED_VALUE"""),"February-Office-Internet")</f>
        <v>February-Office-Internet</v>
      </c>
      <c r="F52" s="5">
        <f>IFERROR(__xludf.DUMMYFUNCTION("""COMPUTED_VALUE"""),4833.0)</f>
        <v>4833</v>
      </c>
      <c r="G52" s="5">
        <f t="shared" si="1"/>
        <v>4833</v>
      </c>
      <c r="H52" s="5" t="str">
        <f>IFERROR(__xludf.DUMMYFUNCTION("split(E52,""-"")"),"February")</f>
        <v>February</v>
      </c>
      <c r="I52" s="5" t="str">
        <f>IFERROR(__xludf.DUMMYFUNCTION("""COMPUTED_VALUE"""),"Office")</f>
        <v>Office</v>
      </c>
      <c r="J52" s="5" t="str">
        <f>IFERROR(__xludf.DUMMYFUNCTION("""COMPUTED_VALUE"""),"Internet")</f>
        <v>Internet</v>
      </c>
      <c r="K52" s="5" t="str">
        <f>Vlookup(F52,Card_Details!$A$2:$B$3,2,FALSE)</f>
        <v>Bengaluru</v>
      </c>
    </row>
    <row r="53">
      <c r="A53" s="9" t="s">
        <v>129</v>
      </c>
      <c r="B53" s="10" t="s">
        <v>130</v>
      </c>
      <c r="C53" s="9">
        <v>94485.0</v>
      </c>
      <c r="D53" s="5">
        <f>IFERROR(__xludf.DUMMYFUNCTION("split(B53,""/"")"),24.0)</f>
        <v>24</v>
      </c>
      <c r="E53" s="5" t="str">
        <f>IFERROR(__xludf.DUMMYFUNCTION("""COMPUTED_VALUE"""),"February-Office-Equipment")</f>
        <v>February-Office-Equipment</v>
      </c>
      <c r="F53" s="5">
        <f>IFERROR(__xludf.DUMMYFUNCTION("""COMPUTED_VALUE"""),4833.0)</f>
        <v>4833</v>
      </c>
      <c r="G53" s="5">
        <f t="shared" si="1"/>
        <v>4833</v>
      </c>
      <c r="H53" s="5" t="str">
        <f>IFERROR(__xludf.DUMMYFUNCTION("split(E53,""-"")"),"February")</f>
        <v>February</v>
      </c>
      <c r="I53" s="5" t="str">
        <f>IFERROR(__xludf.DUMMYFUNCTION("""COMPUTED_VALUE"""),"Office")</f>
        <v>Office</v>
      </c>
      <c r="J53" s="5" t="str">
        <f>IFERROR(__xludf.DUMMYFUNCTION("""COMPUTED_VALUE"""),"Equipment")</f>
        <v>Equipment</v>
      </c>
      <c r="K53" s="5" t="str">
        <f>Vlookup(F53,Card_Details!$A$2:$B$3,2,FALSE)</f>
        <v>Bengaluru</v>
      </c>
    </row>
    <row r="54">
      <c r="A54" s="9" t="s">
        <v>131</v>
      </c>
      <c r="B54" s="10" t="s">
        <v>132</v>
      </c>
      <c r="C54" s="9">
        <v>56314.0</v>
      </c>
      <c r="D54" s="5">
        <f>IFERROR(__xludf.DUMMYFUNCTION("split(B54,""/"")"),25.0)</f>
        <v>25</v>
      </c>
      <c r="E54" s="5" t="str">
        <f>IFERROR(__xludf.DUMMYFUNCTION("""COMPUTED_VALUE"""),"February-Office-Meetings")</f>
        <v>February-Office-Meetings</v>
      </c>
      <c r="F54" s="5">
        <f>IFERROR(__xludf.DUMMYFUNCTION("""COMPUTED_VALUE"""),4833.0)</f>
        <v>4833</v>
      </c>
      <c r="G54" s="5">
        <f t="shared" si="1"/>
        <v>4833</v>
      </c>
      <c r="H54" s="5" t="str">
        <f>IFERROR(__xludf.DUMMYFUNCTION("split(E54,""-"")"),"February")</f>
        <v>February</v>
      </c>
      <c r="I54" s="5" t="str">
        <f>IFERROR(__xludf.DUMMYFUNCTION("""COMPUTED_VALUE"""),"Office")</f>
        <v>Office</v>
      </c>
      <c r="J54" s="5" t="str">
        <f>IFERROR(__xludf.DUMMYFUNCTION("""COMPUTED_VALUE"""),"Meetings")</f>
        <v>Meetings</v>
      </c>
      <c r="K54" s="5" t="str">
        <f>Vlookup(F54,Card_Details!$A$2:$B$3,2,FALSE)</f>
        <v>Bengaluru</v>
      </c>
    </row>
    <row r="55">
      <c r="A55" s="9" t="s">
        <v>133</v>
      </c>
      <c r="B55" s="10" t="s">
        <v>134</v>
      </c>
      <c r="C55" s="9">
        <v>113056.0</v>
      </c>
      <c r="D55" s="5">
        <f>IFERROR(__xludf.DUMMYFUNCTION("split(B55,""/"")"),26.0)</f>
        <v>26</v>
      </c>
      <c r="E55" s="5" t="str">
        <f>IFERROR(__xludf.DUMMYFUNCTION("""COMPUTED_VALUE"""),"February-Office-Travel")</f>
        <v>February-Office-Travel</v>
      </c>
      <c r="F55" s="5">
        <f>IFERROR(__xludf.DUMMYFUNCTION("""COMPUTED_VALUE"""),5554.0)</f>
        <v>5554</v>
      </c>
      <c r="G55" s="5">
        <f t="shared" si="1"/>
        <v>5554</v>
      </c>
      <c r="H55" s="5" t="str">
        <f>IFERROR(__xludf.DUMMYFUNCTION("split(E55,""-"")"),"February")</f>
        <v>February</v>
      </c>
      <c r="I55" s="5" t="str">
        <f>IFERROR(__xludf.DUMMYFUNCTION("""COMPUTED_VALUE"""),"Office")</f>
        <v>Office</v>
      </c>
      <c r="J55" s="5" t="str">
        <f>IFERROR(__xludf.DUMMYFUNCTION("""COMPUTED_VALUE"""),"Travel")</f>
        <v>Travel</v>
      </c>
      <c r="K55" s="5" t="str">
        <f>Vlookup(F55,Card_Details!$A$2:$B$3,2,FALSE)</f>
        <v>Kolkata</v>
      </c>
    </row>
    <row r="56">
      <c r="A56" s="9" t="s">
        <v>135</v>
      </c>
      <c r="B56" s="10" t="s">
        <v>136</v>
      </c>
      <c r="C56" s="9">
        <v>53771.0</v>
      </c>
      <c r="D56" s="5">
        <f>IFERROR(__xludf.DUMMYFUNCTION("split(B56,""/"")"),27.0)</f>
        <v>27</v>
      </c>
      <c r="E56" s="5" t="str">
        <f>IFERROR(__xludf.DUMMYFUNCTION("""COMPUTED_VALUE"""),"February-Office-Insurance")</f>
        <v>February-Office-Insurance</v>
      </c>
      <c r="F56" s="5">
        <f>IFERROR(__xludf.DUMMYFUNCTION("""COMPUTED_VALUE"""),4833.0)</f>
        <v>4833</v>
      </c>
      <c r="G56" s="5">
        <f t="shared" si="1"/>
        <v>4833</v>
      </c>
      <c r="H56" s="5" t="str">
        <f>IFERROR(__xludf.DUMMYFUNCTION("split(E56,""-"")"),"February")</f>
        <v>February</v>
      </c>
      <c r="I56" s="5" t="str">
        <f>IFERROR(__xludf.DUMMYFUNCTION("""COMPUTED_VALUE"""),"Office")</f>
        <v>Office</v>
      </c>
      <c r="J56" s="5" t="str">
        <f>IFERROR(__xludf.DUMMYFUNCTION("""COMPUTED_VALUE"""),"Insurance")</f>
        <v>Insurance</v>
      </c>
      <c r="K56" s="5" t="str">
        <f>Vlookup(F56,Card_Details!$A$2:$B$3,2,FALSE)</f>
        <v>Bengaluru</v>
      </c>
    </row>
    <row r="57">
      <c r="A57" s="9" t="s">
        <v>137</v>
      </c>
      <c r="B57" s="10" t="s">
        <v>138</v>
      </c>
      <c r="C57" s="9">
        <v>98000.0</v>
      </c>
      <c r="D57" s="5">
        <f>IFERROR(__xludf.DUMMYFUNCTION("split(B57,""/"")"),28.0)</f>
        <v>28</v>
      </c>
      <c r="E57" s="5" t="str">
        <f>IFERROR(__xludf.DUMMYFUNCTION("""COMPUTED_VALUE"""),"February-Office-Education")</f>
        <v>February-Office-Education</v>
      </c>
      <c r="F57" s="5">
        <f>IFERROR(__xludf.DUMMYFUNCTION("""COMPUTED_VALUE"""),4833.0)</f>
        <v>4833</v>
      </c>
      <c r="G57" s="5">
        <f t="shared" si="1"/>
        <v>4833</v>
      </c>
      <c r="H57" s="5" t="str">
        <f>IFERROR(__xludf.DUMMYFUNCTION("split(E57,""-"")"),"February")</f>
        <v>February</v>
      </c>
      <c r="I57" s="5" t="str">
        <f>IFERROR(__xludf.DUMMYFUNCTION("""COMPUTED_VALUE"""),"Office")</f>
        <v>Office</v>
      </c>
      <c r="J57" s="5" t="str">
        <f>IFERROR(__xludf.DUMMYFUNCTION("""COMPUTED_VALUE"""),"Education")</f>
        <v>Education</v>
      </c>
      <c r="K57" s="5" t="str">
        <f>Vlookup(F57,Card_Details!$A$2:$B$3,2,FALSE)</f>
        <v>Bengaluru</v>
      </c>
    </row>
    <row r="58">
      <c r="A58" s="9" t="s">
        <v>139</v>
      </c>
      <c r="B58" s="10" t="s">
        <v>140</v>
      </c>
      <c r="C58" s="9">
        <v>72000.0</v>
      </c>
      <c r="D58" s="5">
        <f>IFERROR(__xludf.DUMMYFUNCTION("split(B58,""/"")"),29.0)</f>
        <v>29</v>
      </c>
      <c r="E58" s="5" t="str">
        <f>IFERROR(__xludf.DUMMYFUNCTION("""COMPUTED_VALUE"""),"February-Office-Telecommunications")</f>
        <v>February-Office-Telecommunications</v>
      </c>
      <c r="F58" s="5">
        <f>IFERROR(__xludf.DUMMYFUNCTION("""COMPUTED_VALUE"""),4833.0)</f>
        <v>4833</v>
      </c>
      <c r="G58" s="5">
        <f t="shared" si="1"/>
        <v>4833</v>
      </c>
      <c r="H58" s="5" t="str">
        <f>IFERROR(__xludf.DUMMYFUNCTION("split(E58,""-"")"),"February")</f>
        <v>February</v>
      </c>
      <c r="I58" s="5" t="str">
        <f>IFERROR(__xludf.DUMMYFUNCTION("""COMPUTED_VALUE"""),"Office")</f>
        <v>Office</v>
      </c>
      <c r="J58" s="5" t="str">
        <f>IFERROR(__xludf.DUMMYFUNCTION("""COMPUTED_VALUE"""),"Telecommunications")</f>
        <v>Telecommunications</v>
      </c>
      <c r="K58" s="5" t="str">
        <f>Vlookup(F58,Card_Details!$A$2:$B$3,2,FALSE)</f>
        <v>Bengaluru</v>
      </c>
    </row>
    <row r="59">
      <c r="A59" s="9" t="s">
        <v>141</v>
      </c>
      <c r="B59" s="10" t="s">
        <v>142</v>
      </c>
      <c r="C59" s="9">
        <v>72000.0</v>
      </c>
      <c r="D59" s="5">
        <f>IFERROR(__xludf.DUMMYFUNCTION("split(B59,""/"")"),25.0)</f>
        <v>25</v>
      </c>
      <c r="E59" s="5" t="str">
        <f>IFERROR(__xludf.DUMMYFUNCTION("""COMPUTED_VALUE"""),"March-Office-Supplies")</f>
        <v>March-Office-Supplies</v>
      </c>
      <c r="F59" s="5">
        <f>IFERROR(__xludf.DUMMYFUNCTION("""COMPUTED_VALUE"""),4833.0)</f>
        <v>4833</v>
      </c>
      <c r="G59" s="5">
        <f t="shared" si="1"/>
        <v>4833</v>
      </c>
      <c r="H59" s="5" t="str">
        <f>IFERROR(__xludf.DUMMYFUNCTION("split(E59,""-"")"),"March")</f>
        <v>March</v>
      </c>
      <c r="I59" s="5" t="str">
        <f>IFERROR(__xludf.DUMMYFUNCTION("""COMPUTED_VALUE"""),"Office")</f>
        <v>Office</v>
      </c>
      <c r="J59" s="5" t="str">
        <f>IFERROR(__xludf.DUMMYFUNCTION("""COMPUTED_VALUE"""),"Supplies")</f>
        <v>Supplies</v>
      </c>
      <c r="K59" s="5" t="str">
        <f>Vlookup(F59,Card_Details!$A$2:$B$3,2,FALSE)</f>
        <v>Bengaluru</v>
      </c>
    </row>
    <row r="60">
      <c r="A60" s="9" t="s">
        <v>143</v>
      </c>
      <c r="B60" s="10" t="s">
        <v>144</v>
      </c>
      <c r="C60" s="9">
        <v>96000.0</v>
      </c>
      <c r="D60" s="5">
        <f>IFERROR(__xludf.DUMMYFUNCTION("split(B60,""/"")"),26.0)</f>
        <v>26</v>
      </c>
      <c r="E60" s="5" t="str">
        <f>IFERROR(__xludf.DUMMYFUNCTION("""COMPUTED_VALUE"""),"March-Office-Rent")</f>
        <v>March-Office-Rent</v>
      </c>
      <c r="F60" s="5">
        <f>IFERROR(__xludf.DUMMYFUNCTION("""COMPUTED_VALUE"""),4833.0)</f>
        <v>4833</v>
      </c>
      <c r="G60" s="5">
        <f t="shared" si="1"/>
        <v>4833</v>
      </c>
      <c r="H60" s="5" t="str">
        <f>IFERROR(__xludf.DUMMYFUNCTION("split(E60,""-"")"),"March")</f>
        <v>March</v>
      </c>
      <c r="I60" s="5" t="str">
        <f>IFERROR(__xludf.DUMMYFUNCTION("""COMPUTED_VALUE"""),"Office")</f>
        <v>Office</v>
      </c>
      <c r="J60" s="5" t="str">
        <f>IFERROR(__xludf.DUMMYFUNCTION("""COMPUTED_VALUE"""),"Rent")</f>
        <v>Rent</v>
      </c>
      <c r="K60" s="5" t="str">
        <f>Vlookup(F60,Card_Details!$A$2:$B$3,2,FALSE)</f>
        <v>Bengaluru</v>
      </c>
    </row>
    <row r="61">
      <c r="A61" s="9" t="s">
        <v>145</v>
      </c>
      <c r="B61" s="10" t="s">
        <v>146</v>
      </c>
      <c r="C61" s="9">
        <v>81000.0</v>
      </c>
      <c r="D61" s="5">
        <f>IFERROR(__xludf.DUMMYFUNCTION("split(B61,""/"")"),27.0)</f>
        <v>27</v>
      </c>
      <c r="E61" s="5" t="str">
        <f>IFERROR(__xludf.DUMMYFUNCTION("""COMPUTED_VALUE"""),"March-Office-Printing")</f>
        <v>March-Office-Printing</v>
      </c>
      <c r="F61" s="5">
        <f>IFERROR(__xludf.DUMMYFUNCTION("""COMPUTED_VALUE"""),4833.0)</f>
        <v>4833</v>
      </c>
      <c r="G61" s="5">
        <f t="shared" si="1"/>
        <v>4833</v>
      </c>
      <c r="H61" s="5" t="str">
        <f>IFERROR(__xludf.DUMMYFUNCTION("split(E61,""-"")"),"March")</f>
        <v>March</v>
      </c>
      <c r="I61" s="5" t="str">
        <f>IFERROR(__xludf.DUMMYFUNCTION("""COMPUTED_VALUE"""),"Office")</f>
        <v>Office</v>
      </c>
      <c r="J61" s="5" t="str">
        <f>IFERROR(__xludf.DUMMYFUNCTION("""COMPUTED_VALUE"""),"Printing")</f>
        <v>Printing</v>
      </c>
      <c r="K61" s="5" t="str">
        <f>Vlookup(F61,Card_Details!$A$2:$B$3,2,FALSE)</f>
        <v>Bengaluru</v>
      </c>
    </row>
    <row r="62">
      <c r="A62" s="9" t="s">
        <v>147</v>
      </c>
      <c r="B62" s="10" t="s">
        <v>148</v>
      </c>
      <c r="C62" s="9">
        <v>86000.0</v>
      </c>
      <c r="D62" s="5">
        <f>IFERROR(__xludf.DUMMYFUNCTION("split(B62,""/"")"),28.0)</f>
        <v>28</v>
      </c>
      <c r="E62" s="5" t="str">
        <f>IFERROR(__xludf.DUMMYFUNCTION("""COMPUTED_VALUE"""),"March-Office-Utilities")</f>
        <v>March-Office-Utilities</v>
      </c>
      <c r="F62" s="5">
        <f>IFERROR(__xludf.DUMMYFUNCTION("""COMPUTED_VALUE"""),5554.0)</f>
        <v>5554</v>
      </c>
      <c r="G62" s="5">
        <f t="shared" si="1"/>
        <v>5554</v>
      </c>
      <c r="H62" s="5" t="str">
        <f>IFERROR(__xludf.DUMMYFUNCTION("split(E62,""-"")"),"March")</f>
        <v>March</v>
      </c>
      <c r="I62" s="5" t="str">
        <f>IFERROR(__xludf.DUMMYFUNCTION("""COMPUTED_VALUE"""),"Office")</f>
        <v>Office</v>
      </c>
      <c r="J62" s="5" t="str">
        <f>IFERROR(__xludf.DUMMYFUNCTION("""COMPUTED_VALUE"""),"Utilities")</f>
        <v>Utilities</v>
      </c>
      <c r="K62" s="5" t="str">
        <f>Vlookup(F62,Card_Details!$A$2:$B$3,2,FALSE)</f>
        <v>Kolkata</v>
      </c>
    </row>
    <row r="63">
      <c r="A63" s="9" t="s">
        <v>149</v>
      </c>
      <c r="B63" s="10" t="s">
        <v>150</v>
      </c>
      <c r="C63" s="9">
        <v>54000.0</v>
      </c>
      <c r="D63" s="5">
        <f>IFERROR(__xludf.DUMMYFUNCTION("split(B63,""/"")"),29.0)</f>
        <v>29</v>
      </c>
      <c r="E63" s="5" t="str">
        <f>IFERROR(__xludf.DUMMYFUNCTION("""COMPUTED_VALUE"""),"March-Office-Stationery")</f>
        <v>March-Office-Stationery</v>
      </c>
      <c r="F63" s="5">
        <f>IFERROR(__xludf.DUMMYFUNCTION("""COMPUTED_VALUE"""),4833.0)</f>
        <v>4833</v>
      </c>
      <c r="G63" s="5">
        <f t="shared" si="1"/>
        <v>4833</v>
      </c>
      <c r="H63" s="5" t="str">
        <f>IFERROR(__xludf.DUMMYFUNCTION("split(E63,""-"")"),"March")</f>
        <v>March</v>
      </c>
      <c r="I63" s="5" t="str">
        <f>IFERROR(__xludf.DUMMYFUNCTION("""COMPUTED_VALUE"""),"Office")</f>
        <v>Office</v>
      </c>
      <c r="J63" s="5" t="str">
        <f>IFERROR(__xludf.DUMMYFUNCTION("""COMPUTED_VALUE"""),"Stationery")</f>
        <v>Stationery</v>
      </c>
      <c r="K63" s="5" t="str">
        <f>Vlookup(F63,Card_Details!$A$2:$B$3,2,FALSE)</f>
        <v>Bengaluru</v>
      </c>
    </row>
    <row r="64">
      <c r="A64" s="9" t="s">
        <v>151</v>
      </c>
      <c r="B64" s="10" t="s">
        <v>152</v>
      </c>
      <c r="C64" s="9">
        <v>91255.0</v>
      </c>
      <c r="D64" s="5">
        <f>IFERROR(__xludf.DUMMYFUNCTION("split(B64,""/"")"),30.0)</f>
        <v>30</v>
      </c>
      <c r="E64" s="5" t="str">
        <f>IFERROR(__xludf.DUMMYFUNCTION("""COMPUTED_VALUE"""),"March-Office-Internet")</f>
        <v>March-Office-Internet</v>
      </c>
      <c r="F64" s="5">
        <f>IFERROR(__xludf.DUMMYFUNCTION("""COMPUTED_VALUE"""),4833.0)</f>
        <v>4833</v>
      </c>
      <c r="G64" s="5">
        <f t="shared" si="1"/>
        <v>4833</v>
      </c>
      <c r="H64" s="5" t="str">
        <f>IFERROR(__xludf.DUMMYFUNCTION("split(E64,""-"")"),"March")</f>
        <v>March</v>
      </c>
      <c r="I64" s="5" t="str">
        <f>IFERROR(__xludf.DUMMYFUNCTION("""COMPUTED_VALUE"""),"Office")</f>
        <v>Office</v>
      </c>
      <c r="J64" s="5" t="str">
        <f>IFERROR(__xludf.DUMMYFUNCTION("""COMPUTED_VALUE"""),"Internet")</f>
        <v>Internet</v>
      </c>
      <c r="K64" s="5" t="str">
        <f>Vlookup(F64,Card_Details!$A$2:$B$3,2,FALSE)</f>
        <v>Bengaluru</v>
      </c>
    </row>
    <row r="65">
      <c r="A65" s="9" t="s">
        <v>153</v>
      </c>
      <c r="B65" s="10" t="s">
        <v>154</v>
      </c>
      <c r="C65" s="9">
        <v>96000.0</v>
      </c>
      <c r="D65" s="5">
        <f>IFERROR(__xludf.DUMMYFUNCTION("split(B65,""/"")"),11.0)</f>
        <v>11</v>
      </c>
      <c r="E65" s="5" t="str">
        <f>IFERROR(__xludf.DUMMYFUNCTION("""COMPUTED_VALUE"""),"March-Office-Supplies")</f>
        <v>March-Office-Supplies</v>
      </c>
      <c r="F65" s="5">
        <f>IFERROR(__xludf.DUMMYFUNCTION("""COMPUTED_VALUE"""),4833.0)</f>
        <v>4833</v>
      </c>
      <c r="G65" s="5">
        <f t="shared" si="1"/>
        <v>4833</v>
      </c>
      <c r="H65" s="5" t="str">
        <f>IFERROR(__xludf.DUMMYFUNCTION("split(E65,""-"")"),"March")</f>
        <v>March</v>
      </c>
      <c r="I65" s="5" t="str">
        <f>IFERROR(__xludf.DUMMYFUNCTION("""COMPUTED_VALUE"""),"Office")</f>
        <v>Office</v>
      </c>
      <c r="J65" s="5" t="str">
        <f>IFERROR(__xludf.DUMMYFUNCTION("""COMPUTED_VALUE"""),"Supplies")</f>
        <v>Supplies</v>
      </c>
      <c r="K65" s="5" t="str">
        <f>Vlookup(F65,Card_Details!$A$2:$B$3,2,FALSE)</f>
        <v>Bengaluru</v>
      </c>
    </row>
    <row r="66">
      <c r="A66" s="9" t="s">
        <v>155</v>
      </c>
      <c r="B66" s="10" t="s">
        <v>156</v>
      </c>
      <c r="C66" s="9">
        <v>62500.0</v>
      </c>
      <c r="D66" s="5">
        <f>IFERROR(__xludf.DUMMYFUNCTION("split(B66,""/"")"),12.0)</f>
        <v>12</v>
      </c>
      <c r="E66" s="5" t="str">
        <f>IFERROR(__xludf.DUMMYFUNCTION("""COMPUTED_VALUE"""),"March-Office-Rent")</f>
        <v>March-Office-Rent</v>
      </c>
      <c r="F66" s="5">
        <f>IFERROR(__xludf.DUMMYFUNCTION("""COMPUTED_VALUE"""),4833.0)</f>
        <v>4833</v>
      </c>
      <c r="G66" s="5">
        <f t="shared" si="1"/>
        <v>4833</v>
      </c>
      <c r="H66" s="5" t="str">
        <f>IFERROR(__xludf.DUMMYFUNCTION("split(E66,""-"")"),"March")</f>
        <v>March</v>
      </c>
      <c r="I66" s="5" t="str">
        <f>IFERROR(__xludf.DUMMYFUNCTION("""COMPUTED_VALUE"""),"Office")</f>
        <v>Office</v>
      </c>
      <c r="J66" s="5" t="str">
        <f>IFERROR(__xludf.DUMMYFUNCTION("""COMPUTED_VALUE"""),"Rent")</f>
        <v>Rent</v>
      </c>
      <c r="K66" s="5" t="str">
        <f>Vlookup(F66,Card_Details!$A$2:$B$3,2,FALSE)</f>
        <v>Bengaluru</v>
      </c>
    </row>
    <row r="67">
      <c r="A67" s="9" t="s">
        <v>157</v>
      </c>
      <c r="B67" s="10" t="s">
        <v>158</v>
      </c>
      <c r="C67" s="9">
        <v>218900.0</v>
      </c>
      <c r="D67" s="5">
        <f>IFERROR(__xludf.DUMMYFUNCTION("split(B67,""/"")"),13.0)</f>
        <v>13</v>
      </c>
      <c r="E67" s="5" t="str">
        <f>IFERROR(__xludf.DUMMYFUNCTION("""COMPUTED_VALUE"""),"March-Office-Printing")</f>
        <v>March-Office-Printing</v>
      </c>
      <c r="F67" s="5">
        <f>IFERROR(__xludf.DUMMYFUNCTION("""COMPUTED_VALUE"""),4833.0)</f>
        <v>4833</v>
      </c>
      <c r="G67" s="5">
        <f t="shared" si="1"/>
        <v>4833</v>
      </c>
      <c r="H67" s="5" t="str">
        <f>IFERROR(__xludf.DUMMYFUNCTION("split(E67,""-"")"),"March")</f>
        <v>March</v>
      </c>
      <c r="I67" s="5" t="str">
        <f>IFERROR(__xludf.DUMMYFUNCTION("""COMPUTED_VALUE"""),"Office")</f>
        <v>Office</v>
      </c>
      <c r="J67" s="5" t="str">
        <f>IFERROR(__xludf.DUMMYFUNCTION("""COMPUTED_VALUE"""),"Printing")</f>
        <v>Printing</v>
      </c>
      <c r="K67" s="5" t="str">
        <f>Vlookup(F67,Card_Details!$A$2:$B$3,2,FALSE)</f>
        <v>Bengaluru</v>
      </c>
    </row>
    <row r="68">
      <c r="A68" s="9" t="s">
        <v>159</v>
      </c>
      <c r="B68" s="10" t="s">
        <v>160</v>
      </c>
      <c r="C68" s="9">
        <v>23870.0</v>
      </c>
      <c r="D68" s="5">
        <f>IFERROR(__xludf.DUMMYFUNCTION("split(B68,""/"")"),14.0)</f>
        <v>14</v>
      </c>
      <c r="E68" s="5" t="str">
        <f>IFERROR(__xludf.DUMMYFUNCTION("""COMPUTED_VALUE"""),"March-Office-Utilities")</f>
        <v>March-Office-Utilities</v>
      </c>
      <c r="F68" s="5">
        <f>IFERROR(__xludf.DUMMYFUNCTION("""COMPUTED_VALUE"""),5554.0)</f>
        <v>5554</v>
      </c>
      <c r="G68" s="5">
        <f t="shared" si="1"/>
        <v>5554</v>
      </c>
      <c r="H68" s="5" t="str">
        <f>IFERROR(__xludf.DUMMYFUNCTION("split(E68,""-"")"),"March")</f>
        <v>March</v>
      </c>
      <c r="I68" s="5" t="str">
        <f>IFERROR(__xludf.DUMMYFUNCTION("""COMPUTED_VALUE"""),"Office")</f>
        <v>Office</v>
      </c>
      <c r="J68" s="5" t="str">
        <f>IFERROR(__xludf.DUMMYFUNCTION("""COMPUTED_VALUE"""),"Utilities")</f>
        <v>Utilities</v>
      </c>
      <c r="K68" s="5" t="str">
        <f>Vlookup(F68,Card_Details!$A$2:$B$3,2,FALSE)</f>
        <v>Kolkata</v>
      </c>
    </row>
    <row r="69">
      <c r="A69" s="9" t="s">
        <v>161</v>
      </c>
      <c r="B69" s="10" t="s">
        <v>162</v>
      </c>
      <c r="C69" s="9">
        <v>108000.0</v>
      </c>
      <c r="D69" s="5">
        <f>IFERROR(__xludf.DUMMYFUNCTION("split(B69,""/"")"),15.0)</f>
        <v>15</v>
      </c>
      <c r="E69" s="5" t="str">
        <f>IFERROR(__xludf.DUMMYFUNCTION("""COMPUTED_VALUE"""),"March-Office-Stationery")</f>
        <v>March-Office-Stationery</v>
      </c>
      <c r="F69" s="5">
        <f>IFERROR(__xludf.DUMMYFUNCTION("""COMPUTED_VALUE"""),4833.0)</f>
        <v>4833</v>
      </c>
      <c r="G69" s="5">
        <f t="shared" si="1"/>
        <v>4833</v>
      </c>
      <c r="H69" s="5" t="str">
        <f>IFERROR(__xludf.DUMMYFUNCTION("split(E69,""-"")"),"March")</f>
        <v>March</v>
      </c>
      <c r="I69" s="5" t="str">
        <f>IFERROR(__xludf.DUMMYFUNCTION("""COMPUTED_VALUE"""),"Office")</f>
        <v>Office</v>
      </c>
      <c r="J69" s="5" t="str">
        <f>IFERROR(__xludf.DUMMYFUNCTION("""COMPUTED_VALUE"""),"Stationery")</f>
        <v>Stationery</v>
      </c>
      <c r="K69" s="5" t="str">
        <f>Vlookup(F69,Card_Details!$A$2:$B$3,2,FALSE)</f>
        <v>Bengaluru</v>
      </c>
    </row>
    <row r="70">
      <c r="A70" s="9" t="s">
        <v>163</v>
      </c>
      <c r="B70" s="10" t="s">
        <v>164</v>
      </c>
      <c r="C70" s="9">
        <v>23000.0</v>
      </c>
      <c r="D70" s="5">
        <f>IFERROR(__xludf.DUMMYFUNCTION("split(B70,""/"")"),16.0)</f>
        <v>16</v>
      </c>
      <c r="E70" s="5" t="str">
        <f>IFERROR(__xludf.DUMMYFUNCTION("""COMPUTED_VALUE"""),"March-Office-Internet")</f>
        <v>March-Office-Internet</v>
      </c>
      <c r="F70" s="5">
        <f>IFERROR(__xludf.DUMMYFUNCTION("""COMPUTED_VALUE"""),4833.0)</f>
        <v>4833</v>
      </c>
      <c r="G70" s="5">
        <f t="shared" si="1"/>
        <v>4833</v>
      </c>
      <c r="H70" s="5" t="str">
        <f>IFERROR(__xludf.DUMMYFUNCTION("split(E70,""-"")"),"March")</f>
        <v>March</v>
      </c>
      <c r="I70" s="5" t="str">
        <f>IFERROR(__xludf.DUMMYFUNCTION("""COMPUTED_VALUE"""),"Office")</f>
        <v>Office</v>
      </c>
      <c r="J70" s="5" t="str">
        <f>IFERROR(__xludf.DUMMYFUNCTION("""COMPUTED_VALUE"""),"Internet")</f>
        <v>Internet</v>
      </c>
      <c r="K70" s="5" t="str">
        <f>Vlookup(F70,Card_Details!$A$2:$B$3,2,FALSE)</f>
        <v>Bengaluru</v>
      </c>
    </row>
    <row r="71">
      <c r="A71" s="9" t="s">
        <v>165</v>
      </c>
      <c r="B71" s="10" t="s">
        <v>166</v>
      </c>
      <c r="C71" s="9">
        <v>52350.0</v>
      </c>
      <c r="D71" s="5">
        <f>IFERROR(__xludf.DUMMYFUNCTION("split(B71,""/"")"),17.0)</f>
        <v>17</v>
      </c>
      <c r="E71" s="5" t="str">
        <f>IFERROR(__xludf.DUMMYFUNCTION("""COMPUTED_VALUE"""),"March-Office-Equipment")</f>
        <v>March-Office-Equipment</v>
      </c>
      <c r="F71" s="5">
        <f>IFERROR(__xludf.DUMMYFUNCTION("""COMPUTED_VALUE"""),4833.0)</f>
        <v>4833</v>
      </c>
      <c r="G71" s="5">
        <f t="shared" si="1"/>
        <v>4833</v>
      </c>
      <c r="H71" s="5" t="str">
        <f>IFERROR(__xludf.DUMMYFUNCTION("split(E71,""-"")"),"March")</f>
        <v>March</v>
      </c>
      <c r="I71" s="5" t="str">
        <f>IFERROR(__xludf.DUMMYFUNCTION("""COMPUTED_VALUE"""),"Office")</f>
        <v>Office</v>
      </c>
      <c r="J71" s="5" t="str">
        <f>IFERROR(__xludf.DUMMYFUNCTION("""COMPUTED_VALUE"""),"Equipment")</f>
        <v>Equipment</v>
      </c>
      <c r="K71" s="5" t="str">
        <f>Vlookup(F71,Card_Details!$A$2:$B$3,2,FALSE)</f>
        <v>Bengaluru</v>
      </c>
    </row>
    <row r="72">
      <c r="A72" s="9" t="s">
        <v>167</v>
      </c>
      <c r="B72" s="10" t="s">
        <v>168</v>
      </c>
      <c r="C72" s="9">
        <v>141485.0</v>
      </c>
      <c r="D72" s="5">
        <f>IFERROR(__xludf.DUMMYFUNCTION("split(B72,""/"")"),31.0)</f>
        <v>31</v>
      </c>
      <c r="E72" s="5" t="str">
        <f>IFERROR(__xludf.DUMMYFUNCTION("""COMPUTED_VALUE"""),"March-Office-Equipment")</f>
        <v>March-Office-Equipment</v>
      </c>
      <c r="F72" s="5">
        <f>IFERROR(__xludf.DUMMYFUNCTION("""COMPUTED_VALUE"""),5554.0)</f>
        <v>5554</v>
      </c>
      <c r="G72" s="5">
        <f t="shared" si="1"/>
        <v>5554</v>
      </c>
      <c r="H72" s="5" t="str">
        <f>IFERROR(__xludf.DUMMYFUNCTION("split(E72,""-"")"),"March")</f>
        <v>March</v>
      </c>
      <c r="I72" s="5" t="str">
        <f>IFERROR(__xludf.DUMMYFUNCTION("""COMPUTED_VALUE"""),"Office")</f>
        <v>Office</v>
      </c>
      <c r="J72" s="5" t="str">
        <f>IFERROR(__xludf.DUMMYFUNCTION("""COMPUTED_VALUE"""),"Equipment")</f>
        <v>Equipment</v>
      </c>
      <c r="K72" s="5" t="str">
        <f>Vlookup(F72,Card_Details!$A$2:$B$3,2,FALSE)</f>
        <v>Kolkata</v>
      </c>
    </row>
    <row r="73">
      <c r="A73" s="9" t="s">
        <v>169</v>
      </c>
      <c r="B73" s="10" t="s">
        <v>170</v>
      </c>
      <c r="C73" s="9">
        <v>130802.0</v>
      </c>
      <c r="D73" s="5">
        <f>IFERROR(__xludf.DUMMYFUNCTION("split(B73,""/"")"),1.0)</f>
        <v>1</v>
      </c>
      <c r="E73" s="5" t="str">
        <f>IFERROR(__xludf.DUMMYFUNCTION("""COMPUTED_VALUE"""),"March-Office-Meetings")</f>
        <v>March-Office-Meetings</v>
      </c>
      <c r="F73" s="5">
        <f>IFERROR(__xludf.DUMMYFUNCTION("""COMPUTED_VALUE"""),4833.0)</f>
        <v>4833</v>
      </c>
      <c r="G73" s="5">
        <f t="shared" si="1"/>
        <v>4833</v>
      </c>
      <c r="H73" s="5" t="str">
        <f>IFERROR(__xludf.DUMMYFUNCTION("split(E73,""-"")"),"March")</f>
        <v>March</v>
      </c>
      <c r="I73" s="5" t="str">
        <f>IFERROR(__xludf.DUMMYFUNCTION("""COMPUTED_VALUE"""),"Office")</f>
        <v>Office</v>
      </c>
      <c r="J73" s="5" t="str">
        <f>IFERROR(__xludf.DUMMYFUNCTION("""COMPUTED_VALUE"""),"Meetings")</f>
        <v>Meetings</v>
      </c>
      <c r="K73" s="5" t="str">
        <f>Vlookup(F73,Card_Details!$A$2:$B$3,2,FALSE)</f>
        <v>Bengaluru</v>
      </c>
    </row>
    <row r="74">
      <c r="A74" s="9" t="s">
        <v>171</v>
      </c>
      <c r="B74" s="10" t="s">
        <v>172</v>
      </c>
      <c r="C74" s="9">
        <v>30663.0</v>
      </c>
      <c r="D74" s="5">
        <f>IFERROR(__xludf.DUMMYFUNCTION("split(B74,""/"")"),2.0)</f>
        <v>2</v>
      </c>
      <c r="E74" s="5" t="str">
        <f>IFERROR(__xludf.DUMMYFUNCTION("""COMPUTED_VALUE"""),"March-Office-Travel")</f>
        <v>March-Office-Travel</v>
      </c>
      <c r="F74" s="5">
        <f>IFERROR(__xludf.DUMMYFUNCTION("""COMPUTED_VALUE"""),4833.0)</f>
        <v>4833</v>
      </c>
      <c r="G74" s="5">
        <f t="shared" si="1"/>
        <v>4833</v>
      </c>
      <c r="H74" s="5" t="str">
        <f>IFERROR(__xludf.DUMMYFUNCTION("split(E74,""-"")"),"March")</f>
        <v>March</v>
      </c>
      <c r="I74" s="5" t="str">
        <f>IFERROR(__xludf.DUMMYFUNCTION("""COMPUTED_VALUE"""),"Office")</f>
        <v>Office</v>
      </c>
      <c r="J74" s="5" t="str">
        <f>IFERROR(__xludf.DUMMYFUNCTION("""COMPUTED_VALUE"""),"Travel")</f>
        <v>Travel</v>
      </c>
      <c r="K74" s="5" t="str">
        <f>Vlookup(F74,Card_Details!$A$2:$B$3,2,FALSE)</f>
        <v>Bengaluru</v>
      </c>
    </row>
    <row r="75">
      <c r="A75" s="9" t="s">
        <v>173</v>
      </c>
      <c r="B75" s="10" t="s">
        <v>174</v>
      </c>
      <c r="C75" s="9">
        <v>108537.0</v>
      </c>
      <c r="D75" s="5">
        <f>IFERROR(__xludf.DUMMYFUNCTION("split(B75,""/"")"),3.0)</f>
        <v>3</v>
      </c>
      <c r="E75" s="5" t="str">
        <f>IFERROR(__xludf.DUMMYFUNCTION("""COMPUTED_VALUE"""),"March-Office-Insurance")</f>
        <v>March-Office-Insurance</v>
      </c>
      <c r="F75" s="5">
        <f>IFERROR(__xludf.DUMMYFUNCTION("""COMPUTED_VALUE"""),4833.0)</f>
        <v>4833</v>
      </c>
      <c r="G75" s="5">
        <f t="shared" si="1"/>
        <v>4833</v>
      </c>
      <c r="H75" s="5" t="str">
        <f>IFERROR(__xludf.DUMMYFUNCTION("split(E75,""-"")"),"March")</f>
        <v>March</v>
      </c>
      <c r="I75" s="5" t="str">
        <f>IFERROR(__xludf.DUMMYFUNCTION("""COMPUTED_VALUE"""),"Office")</f>
        <v>Office</v>
      </c>
      <c r="J75" s="5" t="str">
        <f>IFERROR(__xludf.DUMMYFUNCTION("""COMPUTED_VALUE"""),"Insurance")</f>
        <v>Insurance</v>
      </c>
      <c r="K75" s="5" t="str">
        <f>Vlookup(F75,Card_Details!$A$2:$B$3,2,FALSE)</f>
        <v>Bengaluru</v>
      </c>
    </row>
    <row r="76">
      <c r="A76" s="9" t="s">
        <v>175</v>
      </c>
      <c r="B76" s="10" t="s">
        <v>176</v>
      </c>
      <c r="C76" s="9">
        <v>25259.0</v>
      </c>
      <c r="D76" s="5">
        <f>IFERROR(__xludf.DUMMYFUNCTION("split(B76,""/"")"),4.0)</f>
        <v>4</v>
      </c>
      <c r="E76" s="5" t="str">
        <f>IFERROR(__xludf.DUMMYFUNCTION("""COMPUTED_VALUE"""),"March-Office-Education")</f>
        <v>March-Office-Education</v>
      </c>
      <c r="F76" s="5">
        <f>IFERROR(__xludf.DUMMYFUNCTION("""COMPUTED_VALUE"""),5554.0)</f>
        <v>5554</v>
      </c>
      <c r="G76" s="5">
        <f t="shared" si="1"/>
        <v>5554</v>
      </c>
      <c r="H76" s="5" t="str">
        <f>IFERROR(__xludf.DUMMYFUNCTION("split(E76,""-"")"),"March")</f>
        <v>March</v>
      </c>
      <c r="I76" s="5" t="str">
        <f>IFERROR(__xludf.DUMMYFUNCTION("""COMPUTED_VALUE"""),"Office")</f>
        <v>Office</v>
      </c>
      <c r="J76" s="5" t="str">
        <f>IFERROR(__xludf.DUMMYFUNCTION("""COMPUTED_VALUE"""),"Education")</f>
        <v>Education</v>
      </c>
      <c r="K76" s="5" t="str">
        <f>Vlookup(F76,Card_Details!$A$2:$B$3,2,FALSE)</f>
        <v>Kolkata</v>
      </c>
    </row>
    <row r="77">
      <c r="A77" s="9" t="s">
        <v>177</v>
      </c>
      <c r="B77" s="10" t="s">
        <v>178</v>
      </c>
      <c r="C77" s="9">
        <v>98000.0</v>
      </c>
      <c r="D77" s="5">
        <f>IFERROR(__xludf.DUMMYFUNCTION("split(B77,""/"")"),5.0)</f>
        <v>5</v>
      </c>
      <c r="E77" s="5" t="str">
        <f>IFERROR(__xludf.DUMMYFUNCTION("""COMPUTED_VALUE"""),"March-Office-Telecommunications")</f>
        <v>March-Office-Telecommunications</v>
      </c>
      <c r="F77" s="5">
        <f>IFERROR(__xludf.DUMMYFUNCTION("""COMPUTED_VALUE"""),4833.0)</f>
        <v>4833</v>
      </c>
      <c r="G77" s="5">
        <f t="shared" si="1"/>
        <v>4833</v>
      </c>
      <c r="H77" s="5" t="str">
        <f>IFERROR(__xludf.DUMMYFUNCTION("split(E77,""-"")"),"March")</f>
        <v>March</v>
      </c>
      <c r="I77" s="5" t="str">
        <f>IFERROR(__xludf.DUMMYFUNCTION("""COMPUTED_VALUE"""),"Office")</f>
        <v>Office</v>
      </c>
      <c r="J77" s="5" t="str">
        <f>IFERROR(__xludf.DUMMYFUNCTION("""COMPUTED_VALUE"""),"Telecommunications")</f>
        <v>Telecommunications</v>
      </c>
      <c r="K77" s="5" t="str">
        <f>Vlookup(F77,Card_Details!$A$2:$B$3,2,FALSE)</f>
        <v>Bengaluru</v>
      </c>
    </row>
    <row r="78">
      <c r="A78" s="9" t="s">
        <v>179</v>
      </c>
      <c r="B78" s="10" t="s">
        <v>180</v>
      </c>
      <c r="C78" s="9">
        <v>96000.0</v>
      </c>
      <c r="D78" s="5">
        <f>IFERROR(__xludf.DUMMYFUNCTION("split(B78,""/"")"),30.0)</f>
        <v>30</v>
      </c>
      <c r="E78" s="5" t="str">
        <f>IFERROR(__xludf.DUMMYFUNCTION("""COMPUTED_VALUE"""),"March-Office-Supplies")</f>
        <v>March-Office-Supplies</v>
      </c>
      <c r="F78" s="5">
        <f>IFERROR(__xludf.DUMMYFUNCTION("""COMPUTED_VALUE"""),5554.0)</f>
        <v>5554</v>
      </c>
      <c r="G78" s="5">
        <f t="shared" si="1"/>
        <v>5554</v>
      </c>
      <c r="H78" s="5" t="str">
        <f>IFERROR(__xludf.DUMMYFUNCTION("split(E78,""-"")"),"March")</f>
        <v>March</v>
      </c>
      <c r="I78" s="5" t="str">
        <f>IFERROR(__xludf.DUMMYFUNCTION("""COMPUTED_VALUE"""),"Office")</f>
        <v>Office</v>
      </c>
      <c r="J78" s="5" t="str">
        <f>IFERROR(__xludf.DUMMYFUNCTION("""COMPUTED_VALUE"""),"Supplies")</f>
        <v>Supplies</v>
      </c>
      <c r="K78" s="5" t="str">
        <f>Vlookup(F78,Card_Details!$A$2:$B$3,2,FALSE)</f>
        <v>Kolkata</v>
      </c>
    </row>
    <row r="79">
      <c r="A79" s="9" t="s">
        <v>181</v>
      </c>
      <c r="B79" s="10" t="s">
        <v>182</v>
      </c>
      <c r="C79" s="9">
        <v>81000.0</v>
      </c>
      <c r="D79" s="5">
        <f>IFERROR(__xludf.DUMMYFUNCTION("split(B79,""/"")"),31.0)</f>
        <v>31</v>
      </c>
      <c r="E79" s="5" t="str">
        <f>IFERROR(__xludf.DUMMYFUNCTION("""COMPUTED_VALUE"""),"March-Office-Rent")</f>
        <v>March-Office-Rent</v>
      </c>
      <c r="F79" s="5">
        <f>IFERROR(__xludf.DUMMYFUNCTION("""COMPUTED_VALUE"""),5554.0)</f>
        <v>5554</v>
      </c>
      <c r="G79" s="5">
        <f t="shared" si="1"/>
        <v>5554</v>
      </c>
      <c r="H79" s="5" t="str">
        <f>IFERROR(__xludf.DUMMYFUNCTION("split(E79,""-"")"),"March")</f>
        <v>March</v>
      </c>
      <c r="I79" s="5" t="str">
        <f>IFERROR(__xludf.DUMMYFUNCTION("""COMPUTED_VALUE"""),"Office")</f>
        <v>Office</v>
      </c>
      <c r="J79" s="5" t="str">
        <f>IFERROR(__xludf.DUMMYFUNCTION("""COMPUTED_VALUE"""),"Rent")</f>
        <v>Rent</v>
      </c>
      <c r="K79" s="5" t="str">
        <f>Vlookup(F79,Card_Details!$A$2:$B$3,2,FALSE)</f>
        <v>Kolkata</v>
      </c>
    </row>
    <row r="80">
      <c r="A80" s="9" t="s">
        <v>183</v>
      </c>
      <c r="B80" s="11" t="s">
        <v>184</v>
      </c>
      <c r="C80" s="9">
        <v>100000.0</v>
      </c>
      <c r="D80" s="5">
        <f>IFERROR(__xludf.DUMMYFUNCTION("split(B80,""/"")"),31.0)</f>
        <v>31</v>
      </c>
      <c r="E80" s="5" t="str">
        <f>IFERROR(__xludf.DUMMYFUNCTION("""COMPUTED_VALUE"""),"March-Office-Supplies")</f>
        <v>March-Office-Supplies</v>
      </c>
      <c r="F80" s="5">
        <f>IFERROR(__xludf.DUMMYFUNCTION("""COMPUTED_VALUE"""),5554.0)</f>
        <v>5554</v>
      </c>
      <c r="G80" s="5">
        <f t="shared" si="1"/>
        <v>5554</v>
      </c>
      <c r="H80" s="5" t="str">
        <f>IFERROR(__xludf.DUMMYFUNCTION("split(E80,""-"")"),"March")</f>
        <v>March</v>
      </c>
      <c r="I80" s="5" t="str">
        <f>IFERROR(__xludf.DUMMYFUNCTION("""COMPUTED_VALUE"""),"Office")</f>
        <v>Office</v>
      </c>
      <c r="J80" s="5" t="str">
        <f>IFERROR(__xludf.DUMMYFUNCTION("""COMPUTED_VALUE"""),"Supplies")</f>
        <v>Supplies</v>
      </c>
      <c r="K80" s="5" t="str">
        <f>Vlookup(F80,Card_Details!$A$2:$B$3,2,FALSE)</f>
        <v>Kolkata</v>
      </c>
    </row>
    <row r="81">
      <c r="A81" s="9" t="s">
        <v>185</v>
      </c>
      <c r="B81" s="9" t="s">
        <v>186</v>
      </c>
      <c r="C81" s="9">
        <v>170000.0</v>
      </c>
      <c r="D81" s="5">
        <f>IFERROR(__xludf.DUMMYFUNCTION("split(B81,""/"")"),31.0)</f>
        <v>31</v>
      </c>
      <c r="E81" s="5" t="str">
        <f>IFERROR(__xludf.DUMMYFUNCTION("""COMPUTED_VALUE"""),"March-Office-Printing")</f>
        <v>March-Office-Printing</v>
      </c>
      <c r="F81" s="5">
        <f>IFERROR(__xludf.DUMMYFUNCTION("""COMPUTED_VALUE"""),5554.0)</f>
        <v>5554</v>
      </c>
      <c r="G81" s="5">
        <f t="shared" si="1"/>
        <v>5554</v>
      </c>
      <c r="H81" s="5" t="str">
        <f>IFERROR(__xludf.DUMMYFUNCTION("split(E81,""-"")"),"March")</f>
        <v>March</v>
      </c>
      <c r="I81" s="5" t="str">
        <f>IFERROR(__xludf.DUMMYFUNCTION("""COMPUTED_VALUE"""),"Office")</f>
        <v>Office</v>
      </c>
      <c r="J81" s="5" t="str">
        <f>IFERROR(__xludf.DUMMYFUNCTION("""COMPUTED_VALUE"""),"Printing")</f>
        <v>Printing</v>
      </c>
      <c r="K81" s="5" t="str">
        <f>Vlookup(F81,Card_Details!$A$2:$B$3,2,FALSE)</f>
        <v>Kolkata</v>
      </c>
    </row>
    <row r="82">
      <c r="A82" s="9" t="s">
        <v>187</v>
      </c>
      <c r="B82" s="9" t="s">
        <v>188</v>
      </c>
      <c r="C82" s="9">
        <v>50000.0</v>
      </c>
      <c r="D82" s="5">
        <f>IFERROR(__xludf.DUMMYFUNCTION("split(B82,""/"")"),31.0)</f>
        <v>31</v>
      </c>
      <c r="E82" s="5" t="str">
        <f>IFERROR(__xludf.DUMMYFUNCTION("""COMPUTED_VALUE"""),"March-Office-Internet")</f>
        <v>March-Office-Internet</v>
      </c>
      <c r="F82" s="5">
        <f>IFERROR(__xludf.DUMMYFUNCTION("""COMPUTED_VALUE"""),5554.0)</f>
        <v>5554</v>
      </c>
      <c r="G82" s="5">
        <f t="shared" si="1"/>
        <v>5554</v>
      </c>
      <c r="H82" s="5" t="str">
        <f>IFERROR(__xludf.DUMMYFUNCTION("split(E82,""-"")"),"March")</f>
        <v>March</v>
      </c>
      <c r="I82" s="5" t="str">
        <f>IFERROR(__xludf.DUMMYFUNCTION("""COMPUTED_VALUE"""),"Office")</f>
        <v>Office</v>
      </c>
      <c r="J82" s="5" t="str">
        <f>IFERROR(__xludf.DUMMYFUNCTION("""COMPUTED_VALUE"""),"Internet")</f>
        <v>Internet</v>
      </c>
      <c r="K82" s="5" t="str">
        <f>Vlookup(F82,Card_Details!$A$2:$B$3,2,FALSE)</f>
        <v>Kolkata</v>
      </c>
    </row>
    <row r="83">
      <c r="A83" s="9" t="s">
        <v>189</v>
      </c>
      <c r="B83" s="9" t="s">
        <v>190</v>
      </c>
      <c r="C83" s="11">
        <v>900.0</v>
      </c>
      <c r="D83" s="5">
        <f>IFERROR(__xludf.DUMMYFUNCTION("split(B83,""/"")"),31.0)</f>
        <v>31</v>
      </c>
      <c r="E83" s="5" t="str">
        <f>IFERROR(__xludf.DUMMYFUNCTION("""COMPUTED_VALUE"""),"March-Office-Telecommunications")</f>
        <v>March-Office-Telecommunications</v>
      </c>
      <c r="F83" s="5">
        <f>IFERROR(__xludf.DUMMYFUNCTION("""COMPUTED_VALUE"""),5554.0)</f>
        <v>5554</v>
      </c>
      <c r="G83" s="5">
        <f t="shared" si="1"/>
        <v>5554</v>
      </c>
      <c r="H83" s="5" t="str">
        <f>IFERROR(__xludf.DUMMYFUNCTION("split(E83,""-"")"),"March")</f>
        <v>March</v>
      </c>
      <c r="I83" s="5" t="str">
        <f>IFERROR(__xludf.DUMMYFUNCTION("""COMPUTED_VALUE"""),"Office")</f>
        <v>Office</v>
      </c>
      <c r="J83" s="5" t="str">
        <f>IFERROR(__xludf.DUMMYFUNCTION("""COMPUTED_VALUE"""),"Telecommunications")</f>
        <v>Telecommunications</v>
      </c>
      <c r="K83" s="5" t="str">
        <f>Vlookup(F83,Card_Details!$A$2:$B$3,2,FALSE)</f>
        <v>Kolkata</v>
      </c>
    </row>
    <row r="114">
      <c r="B114" s="12"/>
    </row>
  </sheetData>
  <drawing r:id="rId1"/>
</worksheet>
</file>