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ransaction Data" sheetId="1" r:id="rId4"/>
    <sheet state="visible" name="Net Sales Amount" sheetId="2" r:id="rId5"/>
    <sheet state="visible" name="Monthly Net Sales" sheetId="3" r:id="rId6"/>
    <sheet state="visible" name="Quaterly Variance Analysis" sheetId="4" r:id="rId7"/>
    <sheet state="visible" name="Customer Table" sheetId="5" r:id="rId8"/>
    <sheet state="visible" name="Product Table" sheetId="6" r:id="rId9"/>
    <sheet state="visible" name="Manager Table" sheetId="7" r:id="rId10"/>
    <sheet state="visible" name="Quarterly Target" sheetId="8" r:id="rId11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<sst xmlns="http://schemas.openxmlformats.org/spreadsheetml/2006/main" count="1034" uniqueCount="295">
  <si>
    <t>Transaction id</t>
  </si>
  <si>
    <t>Product ID</t>
  </si>
  <si>
    <t>Transaction Comment</t>
  </si>
  <si>
    <t>Customer ID</t>
  </si>
  <si>
    <t>#001</t>
  </si>
  <si>
    <t>Prod009</t>
  </si>
  <si>
    <t>498/XYZ086/November</t>
  </si>
  <si>
    <t>Customer116</t>
  </si>
  <si>
    <t>#002</t>
  </si>
  <si>
    <t>Prod006</t>
  </si>
  <si>
    <t>422/XYZ081/September</t>
  </si>
  <si>
    <t>Customer113</t>
  </si>
  <si>
    <t>#003</t>
  </si>
  <si>
    <t>Prod001</t>
  </si>
  <si>
    <t>587/XYZ086/June</t>
  </si>
  <si>
    <t>Customer112</t>
  </si>
  <si>
    <t>#004</t>
  </si>
  <si>
    <t>542/XYZ078/June</t>
  </si>
  <si>
    <t>#005</t>
  </si>
  <si>
    <t>548/XYZ085/November</t>
  </si>
  <si>
    <t>#006</t>
  </si>
  <si>
    <t>682/XYZ081/January</t>
  </si>
  <si>
    <t>Customer111</t>
  </si>
  <si>
    <t>#007</t>
  </si>
  <si>
    <t>Prod003</t>
  </si>
  <si>
    <t>409/XYZ081/May</t>
  </si>
  <si>
    <t>#008</t>
  </si>
  <si>
    <t>391/XYZ086/April</t>
  </si>
  <si>
    <t>Customer114</t>
  </si>
  <si>
    <t>#009</t>
  </si>
  <si>
    <t>Prod004</t>
  </si>
  <si>
    <t>362/XYZ085/December</t>
  </si>
  <si>
    <t>#010</t>
  </si>
  <si>
    <t>451/XYZ084/March</t>
  </si>
  <si>
    <t>#011</t>
  </si>
  <si>
    <t>511/XYZ084/September</t>
  </si>
  <si>
    <t>#012</t>
  </si>
  <si>
    <t>368/XYZ081/June</t>
  </si>
  <si>
    <t>#013</t>
  </si>
  <si>
    <t>543/XYZ083/May</t>
  </si>
  <si>
    <t>#014</t>
  </si>
  <si>
    <t>Prod010</t>
  </si>
  <si>
    <t>534/XYZ085/February</t>
  </si>
  <si>
    <t>#015</t>
  </si>
  <si>
    <t>438/XYZ079/September</t>
  </si>
  <si>
    <t>#016</t>
  </si>
  <si>
    <t>407/XYZ078/May</t>
  </si>
  <si>
    <t>#017</t>
  </si>
  <si>
    <t>357/XYZ080/October</t>
  </si>
  <si>
    <t>#018</t>
  </si>
  <si>
    <t>508/XYZ085/November</t>
  </si>
  <si>
    <t>#019</t>
  </si>
  <si>
    <t>576/XYZ086/April</t>
  </si>
  <si>
    <t>#020</t>
  </si>
  <si>
    <t>Prod005</t>
  </si>
  <si>
    <t>460/XYZ083/January</t>
  </si>
  <si>
    <t>Customer115</t>
  </si>
  <si>
    <t>#021</t>
  </si>
  <si>
    <t>Prod008</t>
  </si>
  <si>
    <t>609/XYZ078/April</t>
  </si>
  <si>
    <t>#022</t>
  </si>
  <si>
    <t>524/XYZ079/August</t>
  </si>
  <si>
    <t>#023</t>
  </si>
  <si>
    <t>Prod002</t>
  </si>
  <si>
    <t>556/XYZ078/August</t>
  </si>
  <si>
    <t>#024</t>
  </si>
  <si>
    <t>619/XYZ081/January</t>
  </si>
  <si>
    <t>#025</t>
  </si>
  <si>
    <t>343/XYZ080/June</t>
  </si>
  <si>
    <t>#026</t>
  </si>
  <si>
    <t>599/XYZ085/August</t>
  </si>
  <si>
    <t>#027</t>
  </si>
  <si>
    <t>599/XYZ082/December</t>
  </si>
  <si>
    <t>#028</t>
  </si>
  <si>
    <t>501/XYZ080/June</t>
  </si>
  <si>
    <t>#029</t>
  </si>
  <si>
    <t>Prod007</t>
  </si>
  <si>
    <t>343/XYZ080/January</t>
  </si>
  <si>
    <t>#030</t>
  </si>
  <si>
    <t>479/XYZ079/August</t>
  </si>
  <si>
    <t>#031</t>
  </si>
  <si>
    <t>307/XYZ082/October</t>
  </si>
  <si>
    <t>#032</t>
  </si>
  <si>
    <t>554/XYZ078/April</t>
  </si>
  <si>
    <t>#033</t>
  </si>
  <si>
    <t>626/XYZ081/August</t>
  </si>
  <si>
    <t>#034</t>
  </si>
  <si>
    <t>524/XYZ082/November</t>
  </si>
  <si>
    <t>#035</t>
  </si>
  <si>
    <t>353/XYZ082/September</t>
  </si>
  <si>
    <t>#036</t>
  </si>
  <si>
    <t>572/XYZ084/November</t>
  </si>
  <si>
    <t>#037</t>
  </si>
  <si>
    <t>378/XYZ080/July</t>
  </si>
  <si>
    <t>#038</t>
  </si>
  <si>
    <t>500/XYZ084/December</t>
  </si>
  <si>
    <t>#039</t>
  </si>
  <si>
    <t>592/XYZ086/March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</si>
  <si>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</si>
  <si>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</si>
  <si>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</si>
  <si>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</si>
  <si>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</si>
  <si>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</si>
  <si>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</si>
  <si>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</si>
  <si>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</si>
  <si>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</si>
  <si>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</si>
  <si>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</si>
  <si>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</si>
  <si>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592/XYZ083/January</t>
  </si>
  <si>
    <t>#053</t>
  </si>
  <si>
    <t>#054</t>
  </si>
  <si>
    <t>592/XYZ079/March</t>
  </si>
  <si>
    <t>#055</t>
  </si>
  <si>
    <t>334/XYZ084/December</t>
  </si>
  <si>
    <t>#056</t>
  </si>
  <si>
    <t>699/XYZ082/January</t>
  </si>
  <si>
    <t>#057</t>
  </si>
  <si>
    <t>411/XYZ082/November</t>
  </si>
  <si>
    <t>#058</t>
  </si>
  <si>
    <t>690/XYZ079/June</t>
  </si>
  <si>
    <t>#059</t>
  </si>
  <si>
    <t>550/XYZ081/April</t>
  </si>
  <si>
    <t>#060</t>
  </si>
  <si>
    <t>532/XYZ084/May</t>
  </si>
  <si>
    <t>#061</t>
  </si>
  <si>
    <t>547/XYZ079/August</t>
  </si>
  <si>
    <t>#062</t>
  </si>
  <si>
    <t>674/XYZ083/November</t>
  </si>
  <si>
    <t>#063</t>
  </si>
  <si>
    <t>487/XYZ082/February</t>
  </si>
  <si>
    <t>#064</t>
  </si>
  <si>
    <t>539/XYZ085/November</t>
  </si>
  <si>
    <t>#065</t>
  </si>
  <si>
    <t>576/XYZ085/March</t>
  </si>
  <si>
    <t>#066</t>
  </si>
  <si>
    <t>575/XYZ084/March</t>
  </si>
  <si>
    <t>#067</t>
  </si>
  <si>
    <t>622/XYZ082/April</t>
  </si>
  <si>
    <t>#068</t>
  </si>
  <si>
    <t>505/XYZ084/April</t>
  </si>
  <si>
    <t>#069</t>
  </si>
  <si>
    <t>414/XYZ083/July</t>
  </si>
  <si>
    <t>#070</t>
  </si>
  <si>
    <t>505/XYZ083/July</t>
  </si>
  <si>
    <t>#071</t>
  </si>
  <si>
    <t>636/XYZ081/August</t>
  </si>
  <si>
    <t>#072</t>
  </si>
  <si>
    <t>655/XYZ085/May</t>
  </si>
  <si>
    <t>#073</t>
  </si>
  <si>
    <t>452/XYZ084/January</t>
  </si>
  <si>
    <t>#074</t>
  </si>
  <si>
    <t>668/XYZ080/July</t>
  </si>
  <si>
    <t>#075</t>
  </si>
  <si>
    <t>456/XYZ082/July</t>
  </si>
  <si>
    <t>#076</t>
  </si>
  <si>
    <t>538/XYZ086/October</t>
  </si>
  <si>
    <t>#077</t>
  </si>
  <si>
    <t>672/XYZ082/March</t>
  </si>
  <si>
    <t>#078</t>
  </si>
  <si>
    <t>622/XYZ085/July</t>
  </si>
  <si>
    <t>#079</t>
  </si>
  <si>
    <t>685/XYZ080/September</t>
  </si>
  <si>
    <t>#080</t>
  </si>
  <si>
    <t>335/XYZ082/March</t>
  </si>
  <si>
    <t>#081</t>
  </si>
  <si>
    <t>429/XYZ080/February</t>
  </si>
  <si>
    <t>#082</t>
  </si>
  <si>
    <t>505/XYZ083/November</t>
  </si>
  <si>
    <t>#083</t>
  </si>
  <si>
    <t>322/XYZ085/October</t>
  </si>
  <si>
    <t>#084</t>
  </si>
  <si>
    <t>359/XYZ079/November</t>
  </si>
  <si>
    <t>#085</t>
  </si>
  <si>
    <t>488/XYZ086/June</t>
  </si>
  <si>
    <t>#086</t>
  </si>
  <si>
    <t>334/XYZ078/February</t>
  </si>
  <si>
    <t>#087</t>
  </si>
  <si>
    <t>601/XYZ083/December</t>
  </si>
  <si>
    <t>#088</t>
  </si>
  <si>
    <t>511/XYZ084/May</t>
  </si>
  <si>
    <t>#089</t>
  </si>
  <si>
    <t>541/XYZ086/February</t>
  </si>
  <si>
    <t>#090</t>
  </si>
  <si>
    <t>536/XYZ083/September</t>
  </si>
  <si>
    <t>#091</t>
  </si>
  <si>
    <t>533/XYZ081/February</t>
  </si>
  <si>
    <t>#092</t>
  </si>
  <si>
    <t>518/XYZ086/March</t>
  </si>
  <si>
    <t>#093</t>
  </si>
  <si>
    <t>392/XYZ086/April</t>
  </si>
  <si>
    <t>#094</t>
  </si>
  <si>
    <t>557/XYZ079/May</t>
  </si>
  <si>
    <t>#095</t>
  </si>
  <si>
    <t>497/XYZ084/June</t>
  </si>
  <si>
    <t>#096</t>
  </si>
  <si>
    <t>566/XYZ086/July</t>
  </si>
  <si>
    <t>#097</t>
  </si>
  <si>
    <t>376/XYZ086/August</t>
  </si>
  <si>
    <t>#098</t>
  </si>
  <si>
    <t>484/XYZ079/September</t>
  </si>
  <si>
    <t>#099</t>
  </si>
  <si>
    <t>575/XYZ079/October</t>
  </si>
  <si>
    <t>#100</t>
  </si>
  <si>
    <t>531/XYZ078/June</t>
  </si>
  <si>
    <t>#101</t>
  </si>
  <si>
    <t>339/XYZ079/December</t>
  </si>
  <si>
    <t>#102</t>
  </si>
  <si>
    <t>458/XYZ084/September</t>
  </si>
  <si>
    <t>#103</t>
  </si>
  <si>
    <t>427/XYZ086/October</t>
  </si>
  <si>
    <t>#104</t>
  </si>
  <si>
    <t>582/XYZ080/February</t>
  </si>
  <si>
    <t>#105</t>
  </si>
  <si>
    <t>570/XYZ081/May</t>
  </si>
  <si>
    <t>#106</t>
  </si>
  <si>
    <t>348/XYZ082/June</t>
  </si>
  <si>
    <t>#107</t>
  </si>
  <si>
    <t>307/XYZ079/July</t>
  </si>
  <si>
    <t>#108</t>
  </si>
  <si>
    <t>316/XYZ085/February</t>
  </si>
  <si>
    <t>#109</t>
  </si>
  <si>
    <t>403/XYZ085/August</t>
  </si>
  <si>
    <t>#110</t>
  </si>
  <si>
    <t>430/XYZ078/December</t>
  </si>
  <si>
    <t>#111</t>
  </si>
  <si>
    <t>487/XYZ081/February</t>
  </si>
  <si>
    <t>Units</t>
  </si>
  <si>
    <t>Manager ID</t>
  </si>
  <si>
    <t>Month</t>
  </si>
  <si>
    <t>List Price</t>
  </si>
  <si>
    <t>Discount</t>
  </si>
  <si>
    <t>Sales Price</t>
  </si>
  <si>
    <t>Discount Price</t>
  </si>
  <si>
    <t>Net Sales</t>
  </si>
  <si>
    <t>Categories</t>
  </si>
  <si>
    <t>Monthly Net Sales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</si>
  <si>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</si>
  <si>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</si>
  <si>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</si>
  <si>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</si>
  <si>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</si>
  <si>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</si>
  <si>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</si>
  <si>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</si>
  <si>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</si>
  <si>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</si>
  <si>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</si>
  <si>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</si>
  <si>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</si>
  <si>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Decor</t>
  </si>
  <si>
    <t>Bedding</t>
  </si>
  <si>
    <t>Lighting</t>
  </si>
  <si>
    <t>Furniture</t>
  </si>
  <si>
    <t>Dinning</t>
  </si>
  <si>
    <t>Targeted Sale</t>
  </si>
  <si>
    <t>Quaterly Net Sales</t>
  </si>
  <si>
    <t>Quaterly Variance Analysis</t>
  </si>
  <si>
    <t>Q1</t>
  </si>
  <si>
    <t>Q2</t>
  </si>
  <si>
    <t>Q3</t>
  </si>
  <si>
    <t>Q4</t>
  </si>
  <si>
    <t>Type of Customer</t>
  </si>
  <si>
    <t>Discount%</t>
  </si>
  <si>
    <t>Central Government</t>
  </si>
  <si>
    <t>Private wholesaler</t>
  </si>
  <si>
    <t>Exporters</t>
  </si>
  <si>
    <t>Private retailer</t>
  </si>
  <si>
    <t>End consumer</t>
  </si>
  <si>
    <t>State Government</t>
  </si>
  <si>
    <t>List Price per unit</t>
  </si>
  <si>
    <t>Sale Manager</t>
  </si>
  <si>
    <t>Manager id</t>
  </si>
  <si>
    <t>Target</t>
  </si>
  <si>
    <t>Total</t>
  </si>
  <si>
    <t>Riya Singh</t>
  </si>
  <si>
    <t>XYZ078</t>
  </si>
  <si>
    <t>Aman Sharma</t>
  </si>
  <si>
    <t>XYZ079</t>
  </si>
  <si>
    <t>Shanti</t>
  </si>
  <si>
    <t>XYZ080</t>
  </si>
  <si>
    <t>Rahul Jain</t>
  </si>
  <si>
    <t>XYZ081</t>
  </si>
  <si>
    <t>Priya Kumari</t>
  </si>
  <si>
    <t>XYZ082</t>
  </si>
  <si>
    <t>Amar Kumar</t>
  </si>
  <si>
    <t>XYZ083</t>
  </si>
  <si>
    <t>Rohit Singh</t>
  </si>
  <si>
    <t>XYZ084</t>
  </si>
  <si>
    <t>Sakshi Sinha</t>
  </si>
  <si>
    <t>XYZ085</t>
  </si>
  <si>
    <t>Om Prakash</t>
  </si>
  <si>
    <t>XYZ086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</si>
</sst>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  <font/>
    <font>
      <b/>
      <color rgb="FFFFFFFF"/>
      <name val="Arial"/>
    </font>
    <font>
      <b/>
      <color rgb="FF000000"/>
      <name val="Söhne"/>
    </font>
    <font>
      <color rgb="FF000000"/>
      <name val="Söhne"/>
    </font>
    <font>
      <color rgb="FFD1D5DB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444654"/>
        <bgColor rgb="FF444654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ECECF1"/>
        <bgColor rgb="FFECECF1"/>
      </patternFill>
    </fill>
  </fills>
  <borders count="9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3" numFmtId="0" xfId="0" applyAlignment="1" applyFill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2" fillId="4" fontId="3" numFmtId="0" xfId="0" applyAlignment="1" applyBorder="1" applyFont="1">
      <alignment horizontal="left"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9" xfId="0" applyFont="1" applyNumberFormat="1"/>
    <xf borderId="3" fillId="2" fontId="1" numFmtId="0" xfId="0" applyAlignment="1" applyBorder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6" fillId="5" fontId="2" numFmtId="0" xfId="0" applyAlignment="1" applyBorder="1" applyFill="1" applyFont="1">
      <alignment readingOrder="0"/>
    </xf>
    <xf borderId="6" fillId="0" fontId="4" numFmtId="0" xfId="0" applyBorder="1" applyFont="1"/>
    <xf borderId="0" fillId="2" fontId="1" numFmtId="0" xfId="0" applyAlignment="1" applyFont="1">
      <alignment horizontal="center" readingOrder="0"/>
    </xf>
    <xf borderId="0" fillId="6" fontId="6" numFmtId="0" xfId="0" applyAlignment="1" applyFill="1" applyFont="1">
      <alignment horizontal="left" readingOrder="0"/>
    </xf>
    <xf borderId="6" fillId="6" fontId="1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6" fillId="0" fontId="4" numFmtId="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6" fillId="7" fontId="7" numFmtId="0" xfId="0" applyAlignment="1" applyBorder="1" applyFill="1" applyFont="1">
      <alignment horizontal="center" readingOrder="0" shrinkToFit="0" vertical="bottom" wrapText="1"/>
    </xf>
    <xf borderId="6" fillId="7" fontId="7" numFmtId="0" xfId="0" applyAlignment="1" applyBorder="1" applyFont="1">
      <alignment horizontal="right" readingOrder="0" shrinkToFit="0" vertical="bottom" wrapText="1"/>
    </xf>
    <xf borderId="6" fillId="0" fontId="8" numFmtId="0" xfId="0" applyAlignment="1" applyBorder="1" applyFont="1">
      <alignment horizontal="left" readingOrder="0" shrinkToFit="0" wrapText="1"/>
    </xf>
    <xf borderId="6" fillId="0" fontId="8" numFmtId="0" xfId="0" applyAlignment="1" applyBorder="1" applyFont="1">
      <alignment horizontal="right" readingOrder="0" shrinkToFit="0" wrapText="1"/>
    </xf>
    <xf borderId="6" fillId="0" fontId="8" numFmtId="0" xfId="0" applyAlignment="1" applyBorder="1" applyFont="1">
      <alignment horizontal="right" shrinkToFit="0" wrapText="1"/>
    </xf>
    <xf borderId="0" fillId="0" fontId="4" numFmtId="0" xfId="0" applyAlignment="1" applyFont="1">
      <alignment horizontal="right"/>
    </xf>
    <xf borderId="7" fillId="6" fontId="1" numFmtId="0" xfId="0" applyAlignment="1" applyBorder="1" applyFont="1">
      <alignment readingOrder="0"/>
    </xf>
    <xf borderId="8" fillId="0" fontId="5" numFmtId="0" xfId="0" applyBorder="1" applyFont="1"/>
    <xf borderId="6" fillId="4" fontId="9" numFmtId="0" xfId="0" applyAlignment="1" applyBorder="1" applyFont="1">
      <alignment horizontal="left" readingOrder="0"/>
    </xf>
    <xf borderId="0" fillId="2" fontId="6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63"/>
    <col customWidth="1" min="3" max="3" width="35.88"/>
    <col customWidth="1" min="4" max="4" width="19.75"/>
    <col customWidth="1" min="5" max="5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4</v>
      </c>
      <c r="B2" s="5" t="s">
        <v>5</v>
      </c>
      <c r="C2" s="5" t="s">
        <v>6</v>
      </c>
      <c r="D2" s="6" t="s">
        <v>7</v>
      </c>
      <c r="E2" s="7"/>
      <c r="F2" s="7"/>
      <c r="G2" s="7"/>
      <c r="H2" s="7"/>
    </row>
    <row r="3">
      <c r="A3" s="4" t="s">
        <v>8</v>
      </c>
      <c r="B3" s="5" t="s">
        <v>9</v>
      </c>
      <c r="C3" s="5" t="s">
        <v>10</v>
      </c>
      <c r="D3" s="6" t="s">
        <v>11</v>
      </c>
      <c r="E3" s="7"/>
      <c r="F3" s="7"/>
      <c r="G3" s="7"/>
      <c r="H3" s="7"/>
    </row>
    <row r="4">
      <c r="A4" s="4" t="s">
        <v>12</v>
      </c>
      <c r="B4" s="5" t="s">
        <v>13</v>
      </c>
      <c r="C4" s="5" t="s">
        <v>14</v>
      </c>
      <c r="D4" s="6" t="s">
        <v>15</v>
      </c>
      <c r="E4" s="7"/>
      <c r="F4" s="7"/>
      <c r="G4" s="7"/>
      <c r="H4" s="7"/>
    </row>
    <row r="5">
      <c r="A5" s="4" t="s">
        <v>16</v>
      </c>
      <c r="B5" s="5" t="s">
        <v>13</v>
      </c>
      <c r="C5" s="5" t="s">
        <v>17</v>
      </c>
      <c r="D5" s="6" t="s">
        <v>7</v>
      </c>
      <c r="E5" s="7"/>
      <c r="F5" s="7"/>
      <c r="G5" s="7"/>
      <c r="H5" s="7"/>
    </row>
    <row r="6">
      <c r="A6" s="4" t="s">
        <v>18</v>
      </c>
      <c r="B6" s="5" t="s">
        <v>13</v>
      </c>
      <c r="C6" s="5" t="s">
        <v>19</v>
      </c>
      <c r="D6" s="6" t="s">
        <v>7</v>
      </c>
      <c r="E6" s="7"/>
      <c r="F6" s="7"/>
      <c r="G6" s="7"/>
      <c r="H6" s="7"/>
    </row>
    <row r="7">
      <c r="A7" s="4" t="s">
        <v>20</v>
      </c>
      <c r="B7" s="5" t="s">
        <v>13</v>
      </c>
      <c r="C7" s="5" t="s">
        <v>21</v>
      </c>
      <c r="D7" s="6" t="s">
        <v>22</v>
      </c>
      <c r="E7" s="7"/>
      <c r="F7" s="7"/>
      <c r="G7" s="7"/>
      <c r="H7" s="7"/>
    </row>
    <row r="8">
      <c r="A8" s="4" t="s">
        <v>23</v>
      </c>
      <c r="B8" s="5" t="s">
        <v>24</v>
      </c>
      <c r="C8" s="5" t="s">
        <v>25</v>
      </c>
      <c r="D8" s="6" t="s">
        <v>7</v>
      </c>
      <c r="E8" s="7"/>
      <c r="F8" s="7"/>
      <c r="G8" s="7"/>
      <c r="H8" s="7"/>
    </row>
    <row r="9">
      <c r="A9" s="4" t="s">
        <v>26</v>
      </c>
      <c r="B9" s="5" t="s">
        <v>5</v>
      </c>
      <c r="C9" s="5" t="s">
        <v>27</v>
      </c>
      <c r="D9" s="6" t="s">
        <v>28</v>
      </c>
      <c r="E9" s="7"/>
      <c r="F9" s="7"/>
      <c r="G9" s="7"/>
      <c r="H9" s="7"/>
    </row>
    <row r="10">
      <c r="A10" s="4" t="s">
        <v>29</v>
      </c>
      <c r="B10" s="5" t="s">
        <v>30</v>
      </c>
      <c r="C10" s="5" t="s">
        <v>31</v>
      </c>
      <c r="D10" s="6" t="s">
        <v>15</v>
      </c>
      <c r="E10" s="7"/>
      <c r="F10" s="7"/>
      <c r="G10" s="7"/>
      <c r="H10" s="7"/>
    </row>
    <row r="11">
      <c r="A11" s="4" t="s">
        <v>32</v>
      </c>
      <c r="B11" s="5" t="s">
        <v>13</v>
      </c>
      <c r="C11" s="5" t="s">
        <v>33</v>
      </c>
      <c r="D11" s="6" t="s">
        <v>11</v>
      </c>
      <c r="E11" s="7"/>
      <c r="F11" s="7"/>
      <c r="G11" s="7"/>
      <c r="H11" s="7"/>
    </row>
    <row r="12">
      <c r="A12" s="4" t="s">
        <v>34</v>
      </c>
      <c r="B12" s="5" t="s">
        <v>30</v>
      </c>
      <c r="C12" s="5" t="s">
        <v>35</v>
      </c>
      <c r="D12" s="6" t="s">
        <v>22</v>
      </c>
      <c r="E12" s="7"/>
      <c r="F12" s="7"/>
      <c r="G12" s="7"/>
      <c r="H12" s="7"/>
    </row>
    <row r="13">
      <c r="A13" s="4" t="s">
        <v>36</v>
      </c>
      <c r="B13" s="5" t="s">
        <v>13</v>
      </c>
      <c r="C13" s="5" t="s">
        <v>37</v>
      </c>
      <c r="D13" s="6" t="s">
        <v>28</v>
      </c>
      <c r="E13" s="7"/>
      <c r="F13" s="7"/>
      <c r="G13" s="7"/>
      <c r="H13" s="7"/>
    </row>
    <row r="14">
      <c r="A14" s="4" t="s">
        <v>38</v>
      </c>
      <c r="B14" s="5" t="s">
        <v>30</v>
      </c>
      <c r="C14" s="5" t="s">
        <v>39</v>
      </c>
      <c r="D14" s="6" t="s">
        <v>7</v>
      </c>
      <c r="E14" s="7"/>
      <c r="F14" s="7"/>
      <c r="G14" s="7"/>
      <c r="H14" s="7"/>
    </row>
    <row r="15">
      <c r="A15" s="4" t="s">
        <v>40</v>
      </c>
      <c r="B15" s="5" t="s">
        <v>41</v>
      </c>
      <c r="C15" s="5" t="s">
        <v>42</v>
      </c>
      <c r="D15" s="6" t="s">
        <v>7</v>
      </c>
      <c r="E15" s="7"/>
      <c r="F15" s="7"/>
      <c r="G15" s="7"/>
      <c r="H15" s="7"/>
    </row>
    <row r="16">
      <c r="A16" s="4" t="s">
        <v>43</v>
      </c>
      <c r="B16" s="5" t="s">
        <v>24</v>
      </c>
      <c r="C16" s="5" t="s">
        <v>44</v>
      </c>
      <c r="D16" s="6" t="s">
        <v>7</v>
      </c>
      <c r="E16" s="7"/>
      <c r="F16" s="7"/>
      <c r="G16" s="7"/>
      <c r="H16" s="7"/>
    </row>
    <row r="17">
      <c r="A17" s="4" t="s">
        <v>45</v>
      </c>
      <c r="B17" s="5" t="s">
        <v>9</v>
      </c>
      <c r="C17" s="5" t="s">
        <v>46</v>
      </c>
      <c r="D17" s="6" t="s">
        <v>7</v>
      </c>
      <c r="E17" s="7"/>
      <c r="F17" s="7"/>
      <c r="G17" s="7"/>
      <c r="H17" s="7"/>
    </row>
    <row r="18">
      <c r="A18" s="4" t="s">
        <v>47</v>
      </c>
      <c r="B18" s="5" t="s">
        <v>24</v>
      </c>
      <c r="C18" s="5" t="s">
        <v>48</v>
      </c>
      <c r="D18" s="6" t="s">
        <v>7</v>
      </c>
      <c r="E18" s="7"/>
      <c r="F18" s="7"/>
      <c r="G18" s="7"/>
      <c r="H18" s="7"/>
    </row>
    <row r="19">
      <c r="A19" s="4" t="s">
        <v>49</v>
      </c>
      <c r="B19" s="5" t="s">
        <v>9</v>
      </c>
      <c r="C19" s="5" t="s">
        <v>50</v>
      </c>
      <c r="D19" s="6" t="s">
        <v>11</v>
      </c>
      <c r="E19" s="7"/>
      <c r="F19" s="7"/>
      <c r="G19" s="7"/>
      <c r="H19" s="7"/>
    </row>
    <row r="20">
      <c r="A20" s="4" t="s">
        <v>51</v>
      </c>
      <c r="B20" s="5" t="s">
        <v>13</v>
      </c>
      <c r="C20" s="5" t="s">
        <v>52</v>
      </c>
      <c r="D20" s="6" t="s">
        <v>22</v>
      </c>
      <c r="E20" s="7"/>
      <c r="F20" s="7"/>
      <c r="G20" s="7"/>
      <c r="H20" s="7"/>
    </row>
    <row r="21">
      <c r="A21" s="4" t="s">
        <v>53</v>
      </c>
      <c r="B21" s="5" t="s">
        <v>54</v>
      </c>
      <c r="C21" s="5" t="s">
        <v>55</v>
      </c>
      <c r="D21" s="6" t="s">
        <v>56</v>
      </c>
      <c r="E21" s="7"/>
      <c r="F21" s="7"/>
      <c r="G21" s="7"/>
      <c r="H21" s="7"/>
    </row>
    <row r="22">
      <c r="A22" s="4" t="s">
        <v>57</v>
      </c>
      <c r="B22" s="5" t="s">
        <v>58</v>
      </c>
      <c r="C22" s="5" t="s">
        <v>59</v>
      </c>
      <c r="D22" s="6" t="s">
        <v>56</v>
      </c>
      <c r="E22" s="7"/>
      <c r="F22" s="7"/>
      <c r="G22" s="7"/>
      <c r="H22" s="7"/>
    </row>
    <row r="23">
      <c r="A23" s="4" t="s">
        <v>60</v>
      </c>
      <c r="B23" s="5" t="s">
        <v>24</v>
      </c>
      <c r="C23" s="5" t="s">
        <v>61</v>
      </c>
      <c r="D23" s="6" t="s">
        <v>22</v>
      </c>
      <c r="E23" s="7"/>
      <c r="F23" s="7"/>
      <c r="G23" s="7"/>
      <c r="H23" s="7"/>
    </row>
    <row r="24">
      <c r="A24" s="4" t="s">
        <v>62</v>
      </c>
      <c r="B24" s="5" t="s">
        <v>63</v>
      </c>
      <c r="C24" s="5" t="s">
        <v>64</v>
      </c>
      <c r="D24" s="6" t="s">
        <v>56</v>
      </c>
      <c r="E24" s="7"/>
      <c r="F24" s="7"/>
      <c r="G24" s="7"/>
      <c r="H24" s="7"/>
    </row>
    <row r="25">
      <c r="A25" s="4" t="s">
        <v>65</v>
      </c>
      <c r="B25" s="5" t="s">
        <v>24</v>
      </c>
      <c r="C25" s="5" t="s">
        <v>66</v>
      </c>
      <c r="D25" s="6" t="s">
        <v>56</v>
      </c>
      <c r="E25" s="7"/>
      <c r="F25" s="7"/>
      <c r="G25" s="7"/>
      <c r="H25" s="7"/>
    </row>
    <row r="26">
      <c r="A26" s="4" t="s">
        <v>67</v>
      </c>
      <c r="B26" s="5" t="s">
        <v>63</v>
      </c>
      <c r="C26" s="5" t="s">
        <v>68</v>
      </c>
      <c r="D26" s="6" t="s">
        <v>11</v>
      </c>
      <c r="E26" s="7"/>
      <c r="F26" s="7"/>
      <c r="G26" s="7"/>
      <c r="H26" s="7"/>
    </row>
    <row r="27">
      <c r="A27" s="4" t="s">
        <v>69</v>
      </c>
      <c r="B27" s="5" t="s">
        <v>58</v>
      </c>
      <c r="C27" s="5" t="s">
        <v>70</v>
      </c>
      <c r="D27" s="6" t="s">
        <v>15</v>
      </c>
      <c r="E27" s="7"/>
      <c r="F27" s="7"/>
      <c r="G27" s="7"/>
      <c r="H27" s="7"/>
    </row>
    <row r="28">
      <c r="A28" s="4" t="s">
        <v>71</v>
      </c>
      <c r="B28" s="5" t="s">
        <v>41</v>
      </c>
      <c r="C28" s="5" t="s">
        <v>72</v>
      </c>
      <c r="D28" s="6" t="s">
        <v>11</v>
      </c>
      <c r="E28" s="7"/>
      <c r="F28" s="7"/>
      <c r="G28" s="7"/>
      <c r="H28" s="7"/>
    </row>
    <row r="29">
      <c r="A29" s="4" t="s">
        <v>73</v>
      </c>
      <c r="B29" s="5" t="s">
        <v>63</v>
      </c>
      <c r="C29" s="5" t="s">
        <v>74</v>
      </c>
      <c r="D29" s="6" t="s">
        <v>28</v>
      </c>
      <c r="E29" s="7"/>
      <c r="F29" s="7"/>
      <c r="G29" s="7"/>
      <c r="H29" s="7"/>
    </row>
    <row r="30">
      <c r="A30" s="4" t="s">
        <v>75</v>
      </c>
      <c r="B30" s="5" t="s">
        <v>76</v>
      </c>
      <c r="C30" s="5" t="s">
        <v>77</v>
      </c>
      <c r="D30" s="6" t="s">
        <v>56</v>
      </c>
      <c r="E30" s="7"/>
      <c r="F30" s="7"/>
      <c r="G30" s="7"/>
      <c r="H30" s="7"/>
    </row>
    <row r="31">
      <c r="A31" s="4" t="s">
        <v>78</v>
      </c>
      <c r="B31" s="5" t="s">
        <v>9</v>
      </c>
      <c r="C31" s="5" t="s">
        <v>79</v>
      </c>
      <c r="D31" s="6" t="s">
        <v>28</v>
      </c>
      <c r="E31" s="7"/>
      <c r="F31" s="7"/>
      <c r="G31" s="7"/>
      <c r="H31" s="7"/>
    </row>
    <row r="32">
      <c r="A32" s="4" t="s">
        <v>80</v>
      </c>
      <c r="B32" s="5" t="s">
        <v>76</v>
      </c>
      <c r="C32" s="5" t="s">
        <v>81</v>
      </c>
      <c r="D32" s="6" t="s">
        <v>11</v>
      </c>
      <c r="E32" s="7"/>
      <c r="F32" s="7"/>
      <c r="G32" s="7"/>
      <c r="H32" s="7"/>
    </row>
    <row r="33">
      <c r="A33" s="4" t="s">
        <v>82</v>
      </c>
      <c r="B33" s="5" t="s">
        <v>54</v>
      </c>
      <c r="C33" s="5" t="s">
        <v>83</v>
      </c>
      <c r="D33" s="6" t="s">
        <v>22</v>
      </c>
      <c r="E33" s="7"/>
      <c r="F33" s="7"/>
      <c r="G33" s="7"/>
      <c r="H33" s="7"/>
    </row>
    <row r="34">
      <c r="A34" s="4" t="s">
        <v>84</v>
      </c>
      <c r="B34" s="5" t="s">
        <v>24</v>
      </c>
      <c r="C34" s="5" t="s">
        <v>85</v>
      </c>
      <c r="D34" s="6" t="s">
        <v>56</v>
      </c>
      <c r="E34" s="7"/>
      <c r="F34" s="7"/>
      <c r="G34" s="7"/>
      <c r="H34" s="7"/>
    </row>
    <row r="35">
      <c r="A35" s="4" t="s">
        <v>86</v>
      </c>
      <c r="B35" s="5" t="s">
        <v>30</v>
      </c>
      <c r="C35" s="5" t="s">
        <v>87</v>
      </c>
      <c r="D35" s="6" t="s">
        <v>15</v>
      </c>
      <c r="E35" s="7"/>
      <c r="F35" s="7"/>
      <c r="G35" s="7"/>
      <c r="H35" s="7"/>
    </row>
    <row r="36">
      <c r="A36" s="4" t="s">
        <v>88</v>
      </c>
      <c r="B36" s="5" t="s">
        <v>54</v>
      </c>
      <c r="C36" s="5" t="s">
        <v>89</v>
      </c>
      <c r="D36" s="6" t="s">
        <v>7</v>
      </c>
      <c r="E36" s="7"/>
      <c r="F36" s="7"/>
      <c r="G36" s="7"/>
      <c r="H36" s="7"/>
    </row>
    <row r="37">
      <c r="A37" s="4" t="s">
        <v>90</v>
      </c>
      <c r="B37" s="5" t="s">
        <v>76</v>
      </c>
      <c r="C37" s="5" t="s">
        <v>91</v>
      </c>
      <c r="D37" s="6" t="s">
        <v>11</v>
      </c>
      <c r="E37" s="7"/>
      <c r="F37" s="7"/>
      <c r="G37" s="7"/>
      <c r="H37" s="7"/>
    </row>
    <row r="38">
      <c r="A38" s="4" t="s">
        <v>92</v>
      </c>
      <c r="B38" s="5" t="s">
        <v>24</v>
      </c>
      <c r="C38" s="5" t="s">
        <v>93</v>
      </c>
      <c r="D38" s="6" t="s">
        <v>11</v>
      </c>
      <c r="E38" s="7"/>
      <c r="F38" s="7"/>
      <c r="G38" s="7"/>
      <c r="H38" s="7"/>
    </row>
    <row r="39">
      <c r="A39" s="4" t="s">
        <v>94</v>
      </c>
      <c r="B39" s="5" t="s">
        <v>76</v>
      </c>
      <c r="C39" s="5" t="s">
        <v>95</v>
      </c>
      <c r="D39" s="6" t="s">
        <v>15</v>
      </c>
      <c r="E39" s="7"/>
      <c r="F39" s="7"/>
      <c r="G39" s="7"/>
      <c r="H39" s="7"/>
    </row>
    <row r="40">
      <c r="A40" s="4" t="s">
        <v>96</v>
      </c>
      <c r="B40" s="5" t="s">
        <v>58</v>
      </c>
      <c r="C40" s="5" t="s">
        <v>97</v>
      </c>
      <c r="D40" s="6" t="s">
        <v>15</v>
      </c>
      <c r="E40" s="7"/>
      <c r="F40" s="7"/>
      <c r="G40" s="7"/>
      <c r="H40" s="7"/>
    </row>
    <row r="41">
      <c r="A41" s="4" t="s">
        <v>98</v>
      </c>
      <c r="B41" s="5" t="s">
        <v>9</v>
      </c>
      <c r="C41" s="5" t="s">
        <v>66</v>
      </c>
      <c r="D41" s="6" t="s">
        <v>7</v>
      </c>
      <c r="E41" s="7"/>
      <c r="F41" s="7"/>
      <c r="G41" s="7"/>
      <c r="H41" s="7"/>
    </row>
    <row r="42">
      <c r="A42" s="4" t="s">
        <v>99</v>
      </c>
      <c r="B42" s="5" t="s">
        <v>54</v>
      </c>
      <c r="C42" s="5" t="s">
        <v>68</v>
      </c>
      <c r="D42" s="6" t="s">
        <v>11</v>
      </c>
      <c r="E42" s="7"/>
      <c r="F42" s="7"/>
      <c r="G42" s="7"/>
      <c r="H42" s="7"/>
    </row>
    <row r="43">
      <c r="A43" s="4" t="s">
        <v>100</v>
      </c>
      <c r="B43" s="5" t="s">
        <v>30</v>
      </c>
      <c r="C43" s="5" t="s">
        <v>70</v>
      </c>
      <c r="D43" s="6" t="s">
        <v>15</v>
      </c>
      <c r="E43" s="7"/>
      <c r="F43" s="7"/>
      <c r="G43" s="7"/>
      <c r="H43" s="7"/>
    </row>
    <row r="44">
      <c r="A44" s="4" t="s">
        <v>101</v>
      </c>
      <c r="B44" s="5" t="s">
        <v>54</v>
      </c>
      <c r="C44" s="5" t="s">
        <v>72</v>
      </c>
      <c r="D44" s="6" t="s">
        <v>7</v>
      </c>
      <c r="E44" s="7"/>
      <c r="F44" s="7"/>
      <c r="G44" s="7"/>
      <c r="H44" s="7"/>
    </row>
    <row r="45">
      <c r="A45" s="4" t="s">
        <v>102</v>
      </c>
      <c r="B45" s="5" t="s">
        <v>58</v>
      </c>
      <c r="C45" s="5" t="s">
        <v>74</v>
      </c>
      <c r="D45" s="6" t="s">
        <v>7</v>
      </c>
      <c r="E45" s="7"/>
      <c r="F45" s="7"/>
      <c r="G45" s="7"/>
      <c r="H45" s="7"/>
    </row>
    <row r="46">
      <c r="A46" s="4" t="s">
        <v>103</v>
      </c>
      <c r="B46" s="5" t="s">
        <v>76</v>
      </c>
      <c r="C46" s="5" t="s">
        <v>77</v>
      </c>
      <c r="D46" s="6" t="s">
        <v>22</v>
      </c>
      <c r="E46" s="7"/>
      <c r="F46" s="7"/>
      <c r="G46" s="7"/>
      <c r="H46" s="7"/>
    </row>
    <row r="47">
      <c r="A47" s="4" t="s">
        <v>104</v>
      </c>
      <c r="B47" s="5" t="s">
        <v>30</v>
      </c>
      <c r="C47" s="5" t="s">
        <v>79</v>
      </c>
      <c r="D47" s="6" t="s">
        <v>7</v>
      </c>
      <c r="E47" s="7"/>
      <c r="F47" s="7"/>
      <c r="G47" s="7"/>
      <c r="H47" s="7"/>
    </row>
    <row r="48">
      <c r="A48" s="4" t="s">
        <v>105</v>
      </c>
      <c r="B48" s="5" t="s">
        <v>63</v>
      </c>
      <c r="C48" s="5" t="s">
        <v>81</v>
      </c>
      <c r="D48" s="6" t="s">
        <v>28</v>
      </c>
      <c r="E48" s="7"/>
      <c r="F48" s="7"/>
      <c r="G48" s="7"/>
      <c r="H48" s="7"/>
    </row>
    <row r="49">
      <c r="A49" s="4" t="s">
        <v>106</v>
      </c>
      <c r="B49" s="5" t="s">
        <v>41</v>
      </c>
      <c r="C49" s="5" t="s">
        <v>83</v>
      </c>
      <c r="D49" s="6" t="s">
        <v>15</v>
      </c>
      <c r="E49" s="7"/>
      <c r="F49" s="7"/>
      <c r="G49" s="7"/>
      <c r="H49" s="7"/>
    </row>
    <row r="50">
      <c r="A50" s="4" t="s">
        <v>107</v>
      </c>
      <c r="B50" s="5" t="s">
        <v>54</v>
      </c>
      <c r="C50" s="5" t="s">
        <v>85</v>
      </c>
      <c r="D50" s="6" t="s">
        <v>11</v>
      </c>
      <c r="E50" s="7"/>
      <c r="F50" s="7"/>
      <c r="G50" s="7"/>
      <c r="H50" s="7"/>
    </row>
    <row r="51">
      <c r="A51" s="4" t="s">
        <v>108</v>
      </c>
      <c r="B51" s="5" t="s">
        <v>76</v>
      </c>
      <c r="C51" s="5" t="s">
        <v>87</v>
      </c>
      <c r="D51" s="6" t="s">
        <v>22</v>
      </c>
      <c r="E51" s="7"/>
      <c r="F51" s="7"/>
      <c r="G51" s="7"/>
      <c r="H51" s="7"/>
    </row>
    <row r="52">
      <c r="A52" s="4" t="s">
        <v>109</v>
      </c>
      <c r="B52" s="5" t="s">
        <v>24</v>
      </c>
      <c r="C52" s="5" t="s">
        <v>89</v>
      </c>
      <c r="D52" s="6" t="s">
        <v>28</v>
      </c>
      <c r="E52" s="7"/>
      <c r="F52" s="7"/>
      <c r="G52" s="7"/>
      <c r="H52" s="7"/>
    </row>
    <row r="53">
      <c r="A53" s="4" t="s">
        <v>110</v>
      </c>
      <c r="B53" s="5" t="s">
        <v>76</v>
      </c>
      <c r="C53" s="5" t="s">
        <v>111</v>
      </c>
      <c r="D53" s="6" t="s">
        <v>7</v>
      </c>
      <c r="E53" s="7"/>
      <c r="F53" s="7"/>
      <c r="G53" s="7"/>
      <c r="H53" s="7"/>
    </row>
    <row r="54">
      <c r="A54" s="4" t="s">
        <v>112</v>
      </c>
      <c r="B54" s="5" t="s">
        <v>58</v>
      </c>
      <c r="C54" s="5" t="s">
        <v>97</v>
      </c>
      <c r="D54" s="6" t="s">
        <v>56</v>
      </c>
      <c r="E54" s="7"/>
      <c r="F54" s="7"/>
      <c r="G54" s="7"/>
      <c r="H54" s="7"/>
    </row>
    <row r="55">
      <c r="A55" s="4" t="s">
        <v>113</v>
      </c>
      <c r="B55" s="5" t="s">
        <v>54</v>
      </c>
      <c r="C55" s="5" t="s">
        <v>114</v>
      </c>
      <c r="D55" s="6" t="s">
        <v>11</v>
      </c>
      <c r="E55" s="7"/>
      <c r="F55" s="7"/>
      <c r="G55" s="7"/>
      <c r="H55" s="7"/>
    </row>
    <row r="56">
      <c r="A56" s="4" t="s">
        <v>115</v>
      </c>
      <c r="B56" s="5" t="s">
        <v>24</v>
      </c>
      <c r="C56" s="5" t="s">
        <v>116</v>
      </c>
      <c r="D56" s="6" t="s">
        <v>15</v>
      </c>
      <c r="E56" s="7"/>
      <c r="F56" s="7"/>
      <c r="G56" s="7"/>
      <c r="H56" s="7"/>
    </row>
    <row r="57">
      <c r="A57" s="4" t="s">
        <v>117</v>
      </c>
      <c r="B57" s="5" t="s">
        <v>5</v>
      </c>
      <c r="C57" s="5" t="s">
        <v>118</v>
      </c>
      <c r="D57" s="6" t="s">
        <v>56</v>
      </c>
      <c r="E57" s="7"/>
      <c r="F57" s="7"/>
      <c r="G57" s="7"/>
      <c r="H57" s="7"/>
    </row>
    <row r="58">
      <c r="A58" s="4" t="s">
        <v>119</v>
      </c>
      <c r="B58" s="5" t="s">
        <v>58</v>
      </c>
      <c r="C58" s="5" t="s">
        <v>120</v>
      </c>
      <c r="D58" s="6" t="s">
        <v>15</v>
      </c>
      <c r="E58" s="7"/>
      <c r="F58" s="7"/>
      <c r="G58" s="7"/>
      <c r="H58" s="7"/>
    </row>
    <row r="59">
      <c r="A59" s="4" t="s">
        <v>121</v>
      </c>
      <c r="B59" s="5" t="s">
        <v>24</v>
      </c>
      <c r="C59" s="5" t="s">
        <v>122</v>
      </c>
      <c r="D59" s="6" t="s">
        <v>7</v>
      </c>
      <c r="E59" s="7"/>
      <c r="F59" s="7"/>
      <c r="G59" s="7"/>
      <c r="H59" s="7"/>
    </row>
    <row r="60">
      <c r="A60" s="4" t="s">
        <v>123</v>
      </c>
      <c r="B60" s="5" t="s">
        <v>63</v>
      </c>
      <c r="C60" s="5" t="s">
        <v>124</v>
      </c>
      <c r="D60" s="6" t="s">
        <v>56</v>
      </c>
      <c r="E60" s="7"/>
      <c r="F60" s="7"/>
      <c r="G60" s="7"/>
      <c r="H60" s="7"/>
    </row>
    <row r="61">
      <c r="A61" s="4" t="s">
        <v>125</v>
      </c>
      <c r="B61" s="5" t="s">
        <v>5</v>
      </c>
      <c r="C61" s="5" t="s">
        <v>126</v>
      </c>
      <c r="D61" s="6" t="s">
        <v>7</v>
      </c>
      <c r="E61" s="7"/>
      <c r="F61" s="7"/>
      <c r="G61" s="7"/>
      <c r="H61" s="7"/>
    </row>
    <row r="62">
      <c r="A62" s="4" t="s">
        <v>127</v>
      </c>
      <c r="B62" s="5" t="s">
        <v>30</v>
      </c>
      <c r="C62" s="5" t="s">
        <v>128</v>
      </c>
      <c r="D62" s="6" t="s">
        <v>7</v>
      </c>
      <c r="E62" s="7"/>
      <c r="F62" s="7"/>
      <c r="G62" s="7"/>
      <c r="H62" s="7"/>
    </row>
    <row r="63">
      <c r="A63" s="4" t="s">
        <v>129</v>
      </c>
      <c r="B63" s="5" t="s">
        <v>41</v>
      </c>
      <c r="C63" s="5" t="s">
        <v>130</v>
      </c>
      <c r="D63" s="6" t="s">
        <v>22</v>
      </c>
      <c r="E63" s="7"/>
      <c r="F63" s="7"/>
      <c r="G63" s="7"/>
      <c r="H63" s="7"/>
    </row>
    <row r="64">
      <c r="A64" s="4" t="s">
        <v>131</v>
      </c>
      <c r="B64" s="5" t="s">
        <v>30</v>
      </c>
      <c r="C64" s="5" t="s">
        <v>132</v>
      </c>
      <c r="D64" s="6" t="s">
        <v>15</v>
      </c>
      <c r="E64" s="7"/>
      <c r="F64" s="7"/>
      <c r="G64" s="7"/>
      <c r="H64" s="7"/>
    </row>
    <row r="65">
      <c r="A65" s="4" t="s">
        <v>133</v>
      </c>
      <c r="B65" s="5" t="s">
        <v>9</v>
      </c>
      <c r="C65" s="5" t="s">
        <v>134</v>
      </c>
      <c r="D65" s="6" t="s">
        <v>11</v>
      </c>
      <c r="E65" s="7"/>
      <c r="F65" s="7"/>
      <c r="G65" s="7"/>
      <c r="H65" s="7"/>
    </row>
    <row r="66">
      <c r="A66" s="4" t="s">
        <v>135</v>
      </c>
      <c r="B66" s="5" t="s">
        <v>5</v>
      </c>
      <c r="C66" s="5" t="s">
        <v>136</v>
      </c>
      <c r="D66" s="6" t="s">
        <v>28</v>
      </c>
      <c r="E66" s="7"/>
      <c r="F66" s="7"/>
      <c r="G66" s="7"/>
      <c r="H66" s="7"/>
    </row>
    <row r="67">
      <c r="A67" s="4" t="s">
        <v>137</v>
      </c>
      <c r="B67" s="5" t="s">
        <v>63</v>
      </c>
      <c r="C67" s="5" t="s">
        <v>138</v>
      </c>
      <c r="D67" s="6" t="s">
        <v>11</v>
      </c>
      <c r="E67" s="7"/>
      <c r="F67" s="7"/>
      <c r="G67" s="7"/>
      <c r="H67" s="7"/>
    </row>
    <row r="68">
      <c r="A68" s="4" t="s">
        <v>139</v>
      </c>
      <c r="B68" s="5" t="s">
        <v>63</v>
      </c>
      <c r="C68" s="5" t="s">
        <v>140</v>
      </c>
      <c r="D68" s="6" t="s">
        <v>7</v>
      </c>
      <c r="E68" s="7"/>
      <c r="F68" s="7"/>
      <c r="G68" s="7"/>
      <c r="H68" s="7"/>
    </row>
    <row r="69">
      <c r="A69" s="4" t="s">
        <v>141</v>
      </c>
      <c r="B69" s="5" t="s">
        <v>63</v>
      </c>
      <c r="C69" s="5" t="s">
        <v>142</v>
      </c>
      <c r="D69" s="6" t="s">
        <v>28</v>
      </c>
      <c r="E69" s="7"/>
      <c r="F69" s="7"/>
      <c r="G69" s="7"/>
      <c r="H69" s="7"/>
    </row>
    <row r="70">
      <c r="A70" s="4" t="s">
        <v>143</v>
      </c>
      <c r="B70" s="5" t="s">
        <v>76</v>
      </c>
      <c r="C70" s="5" t="s">
        <v>144</v>
      </c>
      <c r="D70" s="6" t="s">
        <v>22</v>
      </c>
      <c r="E70" s="7"/>
      <c r="F70" s="7"/>
      <c r="G70" s="7"/>
      <c r="H70" s="7"/>
    </row>
    <row r="71">
      <c r="A71" s="4" t="s">
        <v>145</v>
      </c>
      <c r="B71" s="5" t="s">
        <v>76</v>
      </c>
      <c r="C71" s="5" t="s">
        <v>146</v>
      </c>
      <c r="D71" s="6" t="s">
        <v>56</v>
      </c>
      <c r="E71" s="7"/>
      <c r="F71" s="7"/>
      <c r="G71" s="7"/>
      <c r="H71" s="7"/>
    </row>
    <row r="72">
      <c r="A72" s="4" t="s">
        <v>147</v>
      </c>
      <c r="B72" s="5" t="s">
        <v>30</v>
      </c>
      <c r="C72" s="5" t="s">
        <v>148</v>
      </c>
      <c r="D72" s="6" t="s">
        <v>22</v>
      </c>
      <c r="E72" s="7"/>
      <c r="F72" s="7"/>
      <c r="G72" s="7"/>
      <c r="H72" s="7"/>
    </row>
    <row r="73">
      <c r="A73" s="4" t="s">
        <v>149</v>
      </c>
      <c r="B73" s="5" t="s">
        <v>63</v>
      </c>
      <c r="C73" s="5" t="s">
        <v>150</v>
      </c>
      <c r="D73" s="6" t="s">
        <v>7</v>
      </c>
      <c r="E73" s="7"/>
      <c r="F73" s="7"/>
      <c r="G73" s="7"/>
      <c r="H73" s="7"/>
    </row>
    <row r="74">
      <c r="A74" s="4" t="s">
        <v>151</v>
      </c>
      <c r="B74" s="5" t="s">
        <v>41</v>
      </c>
      <c r="C74" s="5" t="s">
        <v>152</v>
      </c>
      <c r="D74" s="6" t="s">
        <v>56</v>
      </c>
      <c r="E74" s="7"/>
      <c r="F74" s="7"/>
      <c r="G74" s="7"/>
      <c r="H74" s="7"/>
    </row>
    <row r="75">
      <c r="A75" s="4" t="s">
        <v>153</v>
      </c>
      <c r="B75" s="5" t="s">
        <v>30</v>
      </c>
      <c r="C75" s="5" t="s">
        <v>154</v>
      </c>
      <c r="D75" s="6" t="s">
        <v>56</v>
      </c>
      <c r="E75" s="7"/>
      <c r="F75" s="7"/>
      <c r="G75" s="7"/>
      <c r="H75" s="7"/>
    </row>
    <row r="76">
      <c r="A76" s="4" t="s">
        <v>155</v>
      </c>
      <c r="B76" s="5" t="s">
        <v>5</v>
      </c>
      <c r="C76" s="5" t="s">
        <v>156</v>
      </c>
      <c r="D76" s="6" t="s">
        <v>56</v>
      </c>
      <c r="E76" s="7"/>
      <c r="F76" s="7"/>
      <c r="G76" s="7"/>
      <c r="H76" s="7"/>
    </row>
    <row r="77">
      <c r="A77" s="4" t="s">
        <v>157</v>
      </c>
      <c r="B77" s="5" t="s">
        <v>54</v>
      </c>
      <c r="C77" s="5" t="s">
        <v>158</v>
      </c>
      <c r="D77" s="6" t="s">
        <v>28</v>
      </c>
      <c r="E77" s="7"/>
      <c r="F77" s="7"/>
      <c r="G77" s="7"/>
      <c r="H77" s="7"/>
    </row>
    <row r="78">
      <c r="A78" s="4" t="s">
        <v>159</v>
      </c>
      <c r="B78" s="5" t="s">
        <v>30</v>
      </c>
      <c r="C78" s="5" t="s">
        <v>160</v>
      </c>
      <c r="D78" s="6" t="s">
        <v>11</v>
      </c>
      <c r="E78" s="7"/>
      <c r="F78" s="7"/>
      <c r="G78" s="7"/>
      <c r="H78" s="7"/>
    </row>
    <row r="79">
      <c r="A79" s="4" t="s">
        <v>161</v>
      </c>
      <c r="B79" s="5" t="s">
        <v>54</v>
      </c>
      <c r="C79" s="5" t="s">
        <v>162</v>
      </c>
      <c r="D79" s="6" t="s">
        <v>56</v>
      </c>
      <c r="E79" s="7"/>
      <c r="F79" s="7"/>
      <c r="G79" s="7"/>
      <c r="H79" s="7"/>
    </row>
    <row r="80">
      <c r="A80" s="4" t="s">
        <v>163</v>
      </c>
      <c r="B80" s="5" t="s">
        <v>58</v>
      </c>
      <c r="C80" s="5" t="s">
        <v>164</v>
      </c>
      <c r="D80" s="6" t="s">
        <v>7</v>
      </c>
      <c r="E80" s="7"/>
      <c r="F80" s="7"/>
      <c r="G80" s="7"/>
      <c r="H80" s="7"/>
    </row>
    <row r="81">
      <c r="A81" s="4" t="s">
        <v>165</v>
      </c>
      <c r="B81" s="5" t="s">
        <v>76</v>
      </c>
      <c r="C81" s="5" t="s">
        <v>166</v>
      </c>
      <c r="D81" s="6" t="s">
        <v>11</v>
      </c>
      <c r="E81" s="7"/>
      <c r="F81" s="7"/>
      <c r="G81" s="7"/>
      <c r="H81" s="7"/>
    </row>
    <row r="82">
      <c r="A82" s="4" t="s">
        <v>167</v>
      </c>
      <c r="B82" s="5" t="s">
        <v>13</v>
      </c>
      <c r="C82" s="5" t="s">
        <v>168</v>
      </c>
      <c r="D82" s="6" t="s">
        <v>15</v>
      </c>
      <c r="E82" s="7"/>
      <c r="F82" s="7"/>
      <c r="G82" s="7"/>
      <c r="H82" s="7"/>
    </row>
    <row r="83">
      <c r="A83" s="4" t="s">
        <v>169</v>
      </c>
      <c r="B83" s="5" t="s">
        <v>30</v>
      </c>
      <c r="C83" s="5" t="s">
        <v>170</v>
      </c>
      <c r="D83" s="6" t="s">
        <v>56</v>
      </c>
      <c r="E83" s="7"/>
      <c r="F83" s="7"/>
      <c r="G83" s="7"/>
      <c r="H83" s="7"/>
    </row>
    <row r="84">
      <c r="A84" s="4" t="s">
        <v>171</v>
      </c>
      <c r="B84" s="5" t="s">
        <v>5</v>
      </c>
      <c r="C84" s="5" t="s">
        <v>172</v>
      </c>
      <c r="D84" s="6" t="s">
        <v>22</v>
      </c>
      <c r="E84" s="7"/>
      <c r="F84" s="7"/>
      <c r="G84" s="7"/>
      <c r="H84" s="7"/>
    </row>
    <row r="85">
      <c r="A85" s="4" t="s">
        <v>173</v>
      </c>
      <c r="B85" s="5" t="s">
        <v>5</v>
      </c>
      <c r="C85" s="5" t="s">
        <v>174</v>
      </c>
      <c r="D85" s="6" t="s">
        <v>56</v>
      </c>
      <c r="E85" s="7"/>
      <c r="F85" s="7"/>
      <c r="G85" s="7"/>
      <c r="H85" s="7"/>
    </row>
    <row r="86">
      <c r="A86" s="4" t="s">
        <v>175</v>
      </c>
      <c r="B86" s="5" t="s">
        <v>9</v>
      </c>
      <c r="C86" s="5" t="s">
        <v>176</v>
      </c>
      <c r="D86" s="6" t="s">
        <v>11</v>
      </c>
      <c r="E86" s="7"/>
      <c r="F86" s="7"/>
      <c r="G86" s="7"/>
      <c r="H86" s="7"/>
    </row>
    <row r="87">
      <c r="A87" s="4" t="s">
        <v>177</v>
      </c>
      <c r="B87" s="5" t="s">
        <v>30</v>
      </c>
      <c r="C87" s="5" t="s">
        <v>178</v>
      </c>
      <c r="D87" s="6" t="s">
        <v>22</v>
      </c>
      <c r="E87" s="7"/>
      <c r="F87" s="7"/>
      <c r="G87" s="7"/>
      <c r="H87" s="7"/>
    </row>
    <row r="88">
      <c r="A88" s="4" t="s">
        <v>179</v>
      </c>
      <c r="B88" s="5" t="s">
        <v>58</v>
      </c>
      <c r="C88" s="5" t="s">
        <v>180</v>
      </c>
      <c r="D88" s="6" t="s">
        <v>22</v>
      </c>
      <c r="E88" s="7"/>
      <c r="F88" s="7"/>
      <c r="G88" s="7"/>
      <c r="H88" s="7"/>
    </row>
    <row r="89">
      <c r="A89" s="4" t="s">
        <v>181</v>
      </c>
      <c r="B89" s="5" t="s">
        <v>63</v>
      </c>
      <c r="C89" s="5" t="s">
        <v>182</v>
      </c>
      <c r="D89" s="6" t="s">
        <v>28</v>
      </c>
      <c r="E89" s="7"/>
      <c r="F89" s="7"/>
      <c r="G89" s="7"/>
      <c r="H89" s="7"/>
    </row>
    <row r="90">
      <c r="A90" s="4" t="s">
        <v>183</v>
      </c>
      <c r="B90" s="5" t="s">
        <v>9</v>
      </c>
      <c r="C90" s="5" t="s">
        <v>184</v>
      </c>
      <c r="D90" s="6" t="s">
        <v>15</v>
      </c>
      <c r="E90" s="7"/>
      <c r="F90" s="7"/>
      <c r="G90" s="7"/>
      <c r="H90" s="7"/>
    </row>
    <row r="91">
      <c r="A91" s="4" t="s">
        <v>185</v>
      </c>
      <c r="B91" s="5" t="s">
        <v>5</v>
      </c>
      <c r="C91" s="5" t="s">
        <v>186</v>
      </c>
      <c r="D91" s="6" t="s">
        <v>15</v>
      </c>
      <c r="E91" s="7"/>
      <c r="F91" s="7"/>
      <c r="G91" s="7"/>
      <c r="H91" s="7"/>
    </row>
    <row r="92">
      <c r="A92" s="4" t="s">
        <v>187</v>
      </c>
      <c r="B92" s="5" t="s">
        <v>5</v>
      </c>
      <c r="C92" s="5" t="s">
        <v>188</v>
      </c>
      <c r="D92" s="6" t="s">
        <v>7</v>
      </c>
      <c r="E92" s="8"/>
      <c r="F92" s="7"/>
      <c r="G92" s="7"/>
      <c r="H92" s="7"/>
    </row>
    <row r="93">
      <c r="A93" s="4" t="s">
        <v>189</v>
      </c>
      <c r="B93" s="5" t="s">
        <v>54</v>
      </c>
      <c r="C93" s="5" t="s">
        <v>190</v>
      </c>
      <c r="D93" s="6" t="s">
        <v>56</v>
      </c>
      <c r="E93" s="8"/>
      <c r="F93" s="7"/>
      <c r="G93" s="7"/>
      <c r="H93" s="7"/>
    </row>
    <row r="94">
      <c r="A94" s="4" t="s">
        <v>191</v>
      </c>
      <c r="B94" s="5" t="s">
        <v>30</v>
      </c>
      <c r="C94" s="5" t="s">
        <v>192</v>
      </c>
      <c r="D94" s="6" t="s">
        <v>56</v>
      </c>
      <c r="E94" s="8"/>
      <c r="F94" s="7"/>
      <c r="G94" s="7"/>
      <c r="H94" s="7"/>
    </row>
    <row r="95">
      <c r="A95" s="4" t="s">
        <v>193</v>
      </c>
      <c r="B95" s="5" t="s">
        <v>54</v>
      </c>
      <c r="C95" s="5" t="s">
        <v>194</v>
      </c>
      <c r="D95" s="6" t="s">
        <v>56</v>
      </c>
      <c r="E95" s="8"/>
      <c r="F95" s="7"/>
      <c r="G95" s="7"/>
      <c r="H95" s="7"/>
    </row>
    <row r="96">
      <c r="A96" s="4" t="s">
        <v>195</v>
      </c>
      <c r="B96" s="5" t="s">
        <v>58</v>
      </c>
      <c r="C96" s="5" t="s">
        <v>196</v>
      </c>
      <c r="D96" s="6" t="s">
        <v>28</v>
      </c>
      <c r="E96" s="8"/>
      <c r="F96" s="7"/>
      <c r="G96" s="7"/>
      <c r="H96" s="7"/>
    </row>
    <row r="97">
      <c r="A97" s="4" t="s">
        <v>197</v>
      </c>
      <c r="B97" s="5" t="s">
        <v>76</v>
      </c>
      <c r="C97" s="5" t="s">
        <v>198</v>
      </c>
      <c r="D97" s="6" t="s">
        <v>11</v>
      </c>
      <c r="E97" s="8"/>
      <c r="F97" s="7"/>
      <c r="G97" s="7"/>
      <c r="H97" s="7"/>
    </row>
    <row r="98">
      <c r="A98" s="4" t="s">
        <v>199</v>
      </c>
      <c r="B98" s="5" t="s">
        <v>13</v>
      </c>
      <c r="C98" s="5" t="s">
        <v>200</v>
      </c>
      <c r="D98" s="6" t="s">
        <v>56</v>
      </c>
      <c r="E98" s="8"/>
      <c r="F98" s="7"/>
      <c r="G98" s="7"/>
      <c r="H98" s="7"/>
    </row>
    <row r="99">
      <c r="A99" s="4" t="s">
        <v>201</v>
      </c>
      <c r="B99" s="5" t="s">
        <v>63</v>
      </c>
      <c r="C99" s="5" t="s">
        <v>202</v>
      </c>
      <c r="D99" s="6" t="s">
        <v>7</v>
      </c>
      <c r="E99" s="8"/>
      <c r="F99" s="7"/>
      <c r="G99" s="7"/>
      <c r="H99" s="7"/>
    </row>
    <row r="100">
      <c r="A100" s="4" t="s">
        <v>203</v>
      </c>
      <c r="B100" s="5" t="s">
        <v>9</v>
      </c>
      <c r="C100" s="5" t="s">
        <v>204</v>
      </c>
      <c r="D100" s="6" t="s">
        <v>11</v>
      </c>
      <c r="E100" s="8"/>
      <c r="F100" s="7"/>
      <c r="G100" s="7"/>
      <c r="H100" s="7"/>
    </row>
    <row r="101">
      <c r="A101" s="4" t="s">
        <v>205</v>
      </c>
      <c r="B101" s="5" t="s">
        <v>5</v>
      </c>
      <c r="C101" s="5" t="s">
        <v>206</v>
      </c>
      <c r="D101" s="6" t="s">
        <v>15</v>
      </c>
      <c r="E101" s="8"/>
      <c r="F101" s="7"/>
      <c r="G101" s="7"/>
      <c r="H101" s="7"/>
    </row>
    <row r="102">
      <c r="A102" s="4" t="s">
        <v>207</v>
      </c>
      <c r="B102" s="5" t="s">
        <v>9</v>
      </c>
      <c r="C102" s="5" t="s">
        <v>208</v>
      </c>
      <c r="D102" s="6" t="s">
        <v>56</v>
      </c>
      <c r="E102" s="8"/>
      <c r="F102" s="7"/>
      <c r="G102" s="7"/>
      <c r="H102" s="7"/>
    </row>
    <row r="103">
      <c r="A103" s="4" t="s">
        <v>209</v>
      </c>
      <c r="B103" s="5" t="s">
        <v>30</v>
      </c>
      <c r="C103" s="5" t="s">
        <v>210</v>
      </c>
      <c r="D103" s="6" t="s">
        <v>22</v>
      </c>
      <c r="E103" s="8"/>
      <c r="F103" s="7"/>
      <c r="G103" s="7"/>
      <c r="H103" s="7"/>
    </row>
    <row r="104">
      <c r="A104" s="4" t="s">
        <v>211</v>
      </c>
      <c r="B104" s="5" t="s">
        <v>30</v>
      </c>
      <c r="C104" s="5" t="s">
        <v>212</v>
      </c>
      <c r="D104" s="6" t="s">
        <v>56</v>
      </c>
      <c r="E104" s="8"/>
      <c r="F104" s="7"/>
      <c r="G104" s="7"/>
      <c r="H104" s="7"/>
    </row>
    <row r="105">
      <c r="A105" s="4" t="s">
        <v>213</v>
      </c>
      <c r="B105" s="5" t="s">
        <v>5</v>
      </c>
      <c r="C105" s="5" t="s">
        <v>214</v>
      </c>
      <c r="D105" s="6" t="s">
        <v>11</v>
      </c>
      <c r="E105" s="8"/>
      <c r="F105" s="7"/>
      <c r="G105" s="7"/>
      <c r="H105" s="7"/>
    </row>
    <row r="106">
      <c r="A106" s="4" t="s">
        <v>215</v>
      </c>
      <c r="B106" s="5" t="s">
        <v>9</v>
      </c>
      <c r="C106" s="5" t="s">
        <v>216</v>
      </c>
      <c r="D106" s="6" t="s">
        <v>22</v>
      </c>
      <c r="E106" s="8"/>
      <c r="F106" s="7"/>
      <c r="G106" s="7"/>
      <c r="H106" s="7"/>
    </row>
    <row r="107">
      <c r="A107" s="4" t="s">
        <v>217</v>
      </c>
      <c r="B107" s="5" t="s">
        <v>30</v>
      </c>
      <c r="C107" s="5" t="s">
        <v>218</v>
      </c>
      <c r="D107" s="6" t="s">
        <v>15</v>
      </c>
      <c r="E107" s="8"/>
      <c r="F107" s="7"/>
      <c r="G107" s="7"/>
      <c r="H107" s="7"/>
    </row>
    <row r="108">
      <c r="A108" s="4" t="s">
        <v>219</v>
      </c>
      <c r="B108" s="5" t="s">
        <v>58</v>
      </c>
      <c r="C108" s="5" t="s">
        <v>220</v>
      </c>
      <c r="D108" s="6" t="s">
        <v>11</v>
      </c>
      <c r="E108" s="8"/>
      <c r="F108" s="7"/>
      <c r="G108" s="7"/>
      <c r="H108" s="7"/>
    </row>
    <row r="109">
      <c r="A109" s="4" t="s">
        <v>221</v>
      </c>
      <c r="B109" s="5" t="s">
        <v>9</v>
      </c>
      <c r="C109" s="5" t="s">
        <v>222</v>
      </c>
      <c r="D109" s="6" t="s">
        <v>28</v>
      </c>
      <c r="E109" s="8"/>
      <c r="F109" s="7"/>
      <c r="G109" s="7"/>
      <c r="H109" s="7"/>
    </row>
    <row r="110">
      <c r="A110" s="4" t="s">
        <v>223</v>
      </c>
      <c r="B110" s="5" t="s">
        <v>5</v>
      </c>
      <c r="C110" s="5" t="s">
        <v>224</v>
      </c>
      <c r="D110" s="6" t="s">
        <v>11</v>
      </c>
      <c r="E110" s="8"/>
      <c r="F110" s="7"/>
      <c r="G110" s="7"/>
      <c r="H110" s="7"/>
    </row>
    <row r="111">
      <c r="A111" s="4" t="s">
        <v>225</v>
      </c>
      <c r="B111" s="5" t="s">
        <v>5</v>
      </c>
      <c r="C111" s="5" t="s">
        <v>226</v>
      </c>
      <c r="D111" s="6" t="s">
        <v>7</v>
      </c>
      <c r="E111" s="8"/>
      <c r="F111" s="7"/>
      <c r="G111" s="7"/>
      <c r="H111" s="7"/>
    </row>
    <row r="112">
      <c r="A112" s="4" t="s">
        <v>227</v>
      </c>
      <c r="B112" s="5" t="s">
        <v>63</v>
      </c>
      <c r="C112" s="5" t="s">
        <v>228</v>
      </c>
      <c r="D112" s="6" t="s">
        <v>28</v>
      </c>
      <c r="E112" s="8"/>
      <c r="F112" s="7"/>
      <c r="G112" s="7"/>
      <c r="H112" s="7"/>
    </row>
    <row r="113">
      <c r="E113" s="7"/>
      <c r="F113" s="7"/>
      <c r="G113" s="7"/>
      <c r="H113" s="7"/>
    </row>
    <row r="114">
      <c r="E114" s="7"/>
      <c r="F114" s="7"/>
      <c r="G114" s="7"/>
      <c r="H114" s="7"/>
    </row>
    <row r="115">
      <c r="E115" s="7"/>
      <c r="F115" s="7"/>
      <c r="G115" s="7"/>
      <c r="H115" s="7"/>
    </row>
    <row r="116">
      <c r="E116" s="7"/>
      <c r="F116" s="7"/>
      <c r="G116" s="7"/>
      <c r="H116" s="7"/>
    </row>
    <row r="117">
      <c r="E117" s="7"/>
      <c r="F117" s="7"/>
      <c r="G117" s="7"/>
      <c r="H117" s="7"/>
    </row>
    <row r="118">
      <c r="E118" s="7"/>
      <c r="F118" s="7"/>
      <c r="G118" s="7"/>
      <c r="H118" s="7"/>
    </row>
    <row r="119">
      <c r="E119" s="7"/>
      <c r="F119" s="7"/>
      <c r="G119" s="7"/>
      <c r="H119" s="7"/>
    </row>
    <row r="120">
      <c r="E120" s="7"/>
      <c r="F120" s="7"/>
      <c r="G120" s="7"/>
      <c r="H120" s="7"/>
    </row>
    <row r="121">
      <c r="E121" s="7"/>
      <c r="F121" s="7"/>
      <c r="G121" s="7"/>
      <c r="H12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63"/>
    <col customWidth="1" min="3" max="3" width="35.88"/>
    <col customWidth="1" min="4" max="4" width="19.75"/>
    <col customWidth="1" min="5" max="5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229</v>
      </c>
      <c r="F1" s="2" t="s">
        <v>230</v>
      </c>
      <c r="G1" s="2" t="s">
        <v>231</v>
      </c>
      <c r="H1" s="2" t="s">
        <v>229</v>
      </c>
      <c r="I1" s="9" t="s">
        <v>232</v>
      </c>
      <c r="J1" s="9" t="s">
        <v>233</v>
      </c>
      <c r="K1" s="9" t="s">
        <v>234</v>
      </c>
      <c r="L1" s="9" t="s">
        <v>235</v>
      </c>
      <c r="M1" s="9" t="s">
        <v>236</v>
      </c>
      <c r="N1" s="9" t="s">
        <v>237</v>
      </c>
      <c r="O1" s="3"/>
      <c r="P1" s="3"/>
      <c r="Q1" s="3"/>
      <c r="R1" s="3"/>
      <c r="S1" s="3"/>
      <c r="T1" s="3"/>
      <c r="U1" s="3"/>
    </row>
    <row r="2">
      <c r="A2" s="4" t="s">
        <v>4</v>
      </c>
      <c r="B2" s="5" t="s">
        <v>5</v>
      </c>
      <c r="C2" s="5" t="s">
        <v>6</v>
      </c>
      <c r="D2" s="6" t="s">
        <v>7</v>
      </c>
      <c r="E2" s="7">
        <f>IFERROR(__xludf.DUMMYFUNCTION("SPLIT(C2,""/"")"),498.0)</f>
        <v>498</v>
      </c>
      <c r="F2" s="7" t="str">
        <f>IFERROR(__xludf.DUMMYFUNCTION("""COMPUTED_VALUE"""),"XYZ086")</f>
        <v>XYZ086</v>
      </c>
      <c r="G2" s="7" t="str">
        <f>IFERROR(__xludf.DUMMYFUNCTION("""COMPUTED_VALUE"""),"November")</f>
        <v>November</v>
      </c>
      <c r="H2" s="7">
        <f t="shared" ref="H2:H112" si="1">Value(E2)</f>
        <v>498</v>
      </c>
      <c r="I2" s="10">
        <f>VLookup(B2,'Product Table'!$A$2:$C$11,3,FALSE)</f>
        <v>4700</v>
      </c>
      <c r="J2" s="11">
        <f>Vlookup(D2,'Customer Table'!$A$2:$C$7,3,FALSE)</f>
        <v>0.08</v>
      </c>
      <c r="K2" s="10">
        <f t="shared" ref="K2:K112" si="2">H2*I2</f>
        <v>2340600</v>
      </c>
      <c r="L2" s="10">
        <f t="shared" ref="L2:L112" si="3">K2*J2</f>
        <v>187248</v>
      </c>
      <c r="M2" s="10">
        <f t="shared" ref="M2:M112" si="4">K2-L2</f>
        <v>2153352</v>
      </c>
      <c r="N2" s="10" t="str">
        <f>vlookup(B2,'Product Table'!$A$2:$B$11,2,FALSE)</f>
        <v>Dinning</v>
      </c>
    </row>
    <row r="3">
      <c r="A3" s="4" t="s">
        <v>8</v>
      </c>
      <c r="B3" s="5" t="s">
        <v>9</v>
      </c>
      <c r="C3" s="5" t="s">
        <v>10</v>
      </c>
      <c r="D3" s="6" t="s">
        <v>11</v>
      </c>
      <c r="E3" s="7">
        <f>IFERROR(__xludf.DUMMYFUNCTION("SPLIT(C3,""/"")"),422.0)</f>
        <v>422</v>
      </c>
      <c r="F3" s="7" t="str">
        <f>IFERROR(__xludf.DUMMYFUNCTION("""COMPUTED_VALUE"""),"XYZ081")</f>
        <v>XYZ081</v>
      </c>
      <c r="G3" s="7" t="str">
        <f>IFERROR(__xludf.DUMMYFUNCTION("""COMPUTED_VALUE"""),"September")</f>
        <v>September</v>
      </c>
      <c r="H3" s="7">
        <f t="shared" si="1"/>
        <v>422</v>
      </c>
      <c r="I3" s="10">
        <f>VLookup(B3,'Product Table'!$A$2:$C$11,3,FALSE)</f>
        <v>7300</v>
      </c>
      <c r="J3" s="11">
        <f>Vlookup(D3,'Customer Table'!$A$2:$C$7,3,FALSE)</f>
        <v>0.06</v>
      </c>
      <c r="K3" s="10">
        <f t="shared" si="2"/>
        <v>3080600</v>
      </c>
      <c r="L3" s="10">
        <f t="shared" si="3"/>
        <v>184836</v>
      </c>
      <c r="M3" s="10">
        <f t="shared" si="4"/>
        <v>2895764</v>
      </c>
      <c r="N3" s="10" t="str">
        <f>vlookup(B3,'Product Table'!$A$2:$B$11,2,FALSE)</f>
        <v>Furniture</v>
      </c>
    </row>
    <row r="4">
      <c r="A4" s="4" t="s">
        <v>12</v>
      </c>
      <c r="B4" s="5" t="s">
        <v>13</v>
      </c>
      <c r="C4" s="5" t="s">
        <v>14</v>
      </c>
      <c r="D4" s="6" t="s">
        <v>15</v>
      </c>
      <c r="E4" s="7">
        <f>IFERROR(__xludf.DUMMYFUNCTION("SPLIT(C4,""/"")"),587.0)</f>
        <v>587</v>
      </c>
      <c r="F4" s="7" t="str">
        <f>IFERROR(__xludf.DUMMYFUNCTION("""COMPUTED_VALUE"""),"XYZ086")</f>
        <v>XYZ086</v>
      </c>
      <c r="G4" s="7" t="str">
        <f>IFERROR(__xludf.DUMMYFUNCTION("""COMPUTED_VALUE"""),"June")</f>
        <v>June</v>
      </c>
      <c r="H4" s="7">
        <f t="shared" si="1"/>
        <v>587</v>
      </c>
      <c r="I4" s="10">
        <f>VLookup(B4,'Product Table'!$A$2:$C$11,3,FALSE)</f>
        <v>1100</v>
      </c>
      <c r="J4" s="11">
        <f>Vlookup(D4,'Customer Table'!$A$2:$C$7,3,FALSE)</f>
        <v>0.12</v>
      </c>
      <c r="K4" s="10">
        <f t="shared" si="2"/>
        <v>645700</v>
      </c>
      <c r="L4" s="10">
        <f t="shared" si="3"/>
        <v>77484</v>
      </c>
      <c r="M4" s="10">
        <f t="shared" si="4"/>
        <v>568216</v>
      </c>
      <c r="N4" s="10" t="str">
        <f>vlookup(B4,'Product Table'!$A$2:$B$11,2,FALSE)</f>
        <v>Decor</v>
      </c>
    </row>
    <row r="5">
      <c r="A5" s="4" t="s">
        <v>16</v>
      </c>
      <c r="B5" s="5" t="s">
        <v>13</v>
      </c>
      <c r="C5" s="5" t="s">
        <v>17</v>
      </c>
      <c r="D5" s="6" t="s">
        <v>7</v>
      </c>
      <c r="E5" s="7">
        <f>IFERROR(__xludf.DUMMYFUNCTION("SPLIT(C5,""/"")"),542.0)</f>
        <v>542</v>
      </c>
      <c r="F5" s="7" t="str">
        <f>IFERROR(__xludf.DUMMYFUNCTION("""COMPUTED_VALUE"""),"XYZ078")</f>
        <v>XYZ078</v>
      </c>
      <c r="G5" s="7" t="str">
        <f>IFERROR(__xludf.DUMMYFUNCTION("""COMPUTED_VALUE"""),"June")</f>
        <v>June</v>
      </c>
      <c r="H5" s="7">
        <f t="shared" si="1"/>
        <v>542</v>
      </c>
      <c r="I5" s="10">
        <f>VLookup(B5,'Product Table'!$A$2:$C$11,3,FALSE)</f>
        <v>1100</v>
      </c>
      <c r="J5" s="11">
        <f>Vlookup(D5,'Customer Table'!$A$2:$C$7,3,FALSE)</f>
        <v>0.08</v>
      </c>
      <c r="K5" s="10">
        <f t="shared" si="2"/>
        <v>596200</v>
      </c>
      <c r="L5" s="10">
        <f t="shared" si="3"/>
        <v>47696</v>
      </c>
      <c r="M5" s="10">
        <f t="shared" si="4"/>
        <v>548504</v>
      </c>
      <c r="N5" s="10" t="str">
        <f>vlookup(B5,'Product Table'!$A$2:$B$11,2,FALSE)</f>
        <v>Decor</v>
      </c>
    </row>
    <row r="6">
      <c r="A6" s="4" t="s">
        <v>18</v>
      </c>
      <c r="B6" s="5" t="s">
        <v>13</v>
      </c>
      <c r="C6" s="5" t="s">
        <v>19</v>
      </c>
      <c r="D6" s="6" t="s">
        <v>7</v>
      </c>
      <c r="E6" s="7">
        <f>IFERROR(__xludf.DUMMYFUNCTION("SPLIT(C6,""/"")"),548.0)</f>
        <v>548</v>
      </c>
      <c r="F6" s="7" t="str">
        <f>IFERROR(__xludf.DUMMYFUNCTION("""COMPUTED_VALUE"""),"XYZ085")</f>
        <v>XYZ085</v>
      </c>
      <c r="G6" s="7" t="str">
        <f>IFERROR(__xludf.DUMMYFUNCTION("""COMPUTED_VALUE"""),"November")</f>
        <v>November</v>
      </c>
      <c r="H6" s="7">
        <f t="shared" si="1"/>
        <v>548</v>
      </c>
      <c r="I6" s="10">
        <f>VLookup(B6,'Product Table'!$A$2:$C$11,3,FALSE)</f>
        <v>1100</v>
      </c>
      <c r="J6" s="11">
        <f>Vlookup(D6,'Customer Table'!$A$2:$C$7,3,FALSE)</f>
        <v>0.08</v>
      </c>
      <c r="K6" s="10">
        <f t="shared" si="2"/>
        <v>602800</v>
      </c>
      <c r="L6" s="10">
        <f t="shared" si="3"/>
        <v>48224</v>
      </c>
      <c r="M6" s="10">
        <f t="shared" si="4"/>
        <v>554576</v>
      </c>
      <c r="N6" s="10" t="str">
        <f>vlookup(B6,'Product Table'!$A$2:$B$11,2,FALSE)</f>
        <v>Decor</v>
      </c>
    </row>
    <row r="7">
      <c r="A7" s="4" t="s">
        <v>20</v>
      </c>
      <c r="B7" s="5" t="s">
        <v>13</v>
      </c>
      <c r="C7" s="5" t="s">
        <v>21</v>
      </c>
      <c r="D7" s="6" t="s">
        <v>22</v>
      </c>
      <c r="E7" s="7">
        <f>IFERROR(__xludf.DUMMYFUNCTION("SPLIT(C7,""/"")"),682.0)</f>
        <v>682</v>
      </c>
      <c r="F7" s="7" t="str">
        <f>IFERROR(__xludf.DUMMYFUNCTION("""COMPUTED_VALUE"""),"XYZ081")</f>
        <v>XYZ081</v>
      </c>
      <c r="G7" s="7" t="str">
        <f>IFERROR(__xludf.DUMMYFUNCTION("""COMPUTED_VALUE"""),"January")</f>
        <v>January</v>
      </c>
      <c r="H7" s="7">
        <f t="shared" si="1"/>
        <v>682</v>
      </c>
      <c r="I7" s="10">
        <f>VLookup(B7,'Product Table'!$A$2:$C$11,3,FALSE)</f>
        <v>1100</v>
      </c>
      <c r="J7" s="11">
        <f>Vlookup(D7,'Customer Table'!$A$2:$C$7,3,FALSE)</f>
        <v>0.1</v>
      </c>
      <c r="K7" s="10">
        <f t="shared" si="2"/>
        <v>750200</v>
      </c>
      <c r="L7" s="10">
        <f t="shared" si="3"/>
        <v>75020</v>
      </c>
      <c r="M7" s="10">
        <f t="shared" si="4"/>
        <v>675180</v>
      </c>
      <c r="N7" s="10" t="str">
        <f>vlookup(B7,'Product Table'!$A$2:$B$11,2,FALSE)</f>
        <v>Decor</v>
      </c>
    </row>
    <row r="8">
      <c r="A8" s="4" t="s">
        <v>23</v>
      </c>
      <c r="B8" s="5" t="s">
        <v>24</v>
      </c>
      <c r="C8" s="5" t="s">
        <v>25</v>
      </c>
      <c r="D8" s="6" t="s">
        <v>7</v>
      </c>
      <c r="E8" s="7">
        <f>IFERROR(__xludf.DUMMYFUNCTION("SPLIT(C8,""/"")"),409.0)</f>
        <v>409</v>
      </c>
      <c r="F8" s="7" t="str">
        <f>IFERROR(__xludf.DUMMYFUNCTION("""COMPUTED_VALUE"""),"XYZ081")</f>
        <v>XYZ081</v>
      </c>
      <c r="G8" s="7" t="str">
        <f>IFERROR(__xludf.DUMMYFUNCTION("""COMPUTED_VALUE"""),"May")</f>
        <v>May</v>
      </c>
      <c r="H8" s="7">
        <f t="shared" si="1"/>
        <v>409</v>
      </c>
      <c r="I8" s="10">
        <f>VLookup(B8,'Product Table'!$A$2:$C$11,3,FALSE)</f>
        <v>1900</v>
      </c>
      <c r="J8" s="11">
        <f>Vlookup(D8,'Customer Table'!$A$2:$C$7,3,FALSE)</f>
        <v>0.08</v>
      </c>
      <c r="K8" s="10">
        <f t="shared" si="2"/>
        <v>777100</v>
      </c>
      <c r="L8" s="10">
        <f t="shared" si="3"/>
        <v>62168</v>
      </c>
      <c r="M8" s="10">
        <f t="shared" si="4"/>
        <v>714932</v>
      </c>
      <c r="N8" s="10" t="str">
        <f>vlookup(B8,'Product Table'!$A$2:$B$11,2,FALSE)</f>
        <v>Lighting</v>
      </c>
    </row>
    <row r="9">
      <c r="A9" s="4" t="s">
        <v>26</v>
      </c>
      <c r="B9" s="5" t="s">
        <v>5</v>
      </c>
      <c r="C9" s="5" t="s">
        <v>27</v>
      </c>
      <c r="D9" s="6" t="s">
        <v>28</v>
      </c>
      <c r="E9" s="7">
        <f>IFERROR(__xludf.DUMMYFUNCTION("SPLIT(C9,""/"")"),391.0)</f>
        <v>391</v>
      </c>
      <c r="F9" s="7" t="str">
        <f>IFERROR(__xludf.DUMMYFUNCTION("""COMPUTED_VALUE"""),"XYZ086")</f>
        <v>XYZ086</v>
      </c>
      <c r="G9" s="7" t="str">
        <f>IFERROR(__xludf.DUMMYFUNCTION("""COMPUTED_VALUE"""),"April")</f>
        <v>April</v>
      </c>
      <c r="H9" s="7">
        <f t="shared" si="1"/>
        <v>391</v>
      </c>
      <c r="I9" s="10">
        <f>VLookup(B9,'Product Table'!$A$2:$C$11,3,FALSE)</f>
        <v>4700</v>
      </c>
      <c r="J9" s="11">
        <f>Vlookup(D9,'Customer Table'!$A$2:$C$7,3,FALSE)</f>
        <v>0.15</v>
      </c>
      <c r="K9" s="10">
        <f t="shared" si="2"/>
        <v>1837700</v>
      </c>
      <c r="L9" s="10">
        <f t="shared" si="3"/>
        <v>275655</v>
      </c>
      <c r="M9" s="10">
        <f t="shared" si="4"/>
        <v>1562045</v>
      </c>
      <c r="N9" s="10" t="str">
        <f>vlookup(B9,'Product Table'!$A$2:$B$11,2,FALSE)</f>
        <v>Dinning</v>
      </c>
    </row>
    <row r="10">
      <c r="A10" s="4" t="s">
        <v>29</v>
      </c>
      <c r="B10" s="5" t="s">
        <v>30</v>
      </c>
      <c r="C10" s="5" t="s">
        <v>31</v>
      </c>
      <c r="D10" s="6" t="s">
        <v>15</v>
      </c>
      <c r="E10" s="7">
        <f>IFERROR(__xludf.DUMMYFUNCTION("SPLIT(C10,""/"")"),362.0)</f>
        <v>362</v>
      </c>
      <c r="F10" s="7" t="str">
        <f>IFERROR(__xludf.DUMMYFUNCTION("""COMPUTED_VALUE"""),"XYZ085")</f>
        <v>XYZ085</v>
      </c>
      <c r="G10" s="7" t="str">
        <f>IFERROR(__xludf.DUMMYFUNCTION("""COMPUTED_VALUE"""),"December")</f>
        <v>December</v>
      </c>
      <c r="H10" s="7">
        <f t="shared" si="1"/>
        <v>362</v>
      </c>
      <c r="I10" s="10">
        <f>VLookup(B10,'Product Table'!$A$2:$C$11,3,FALSE)</f>
        <v>900</v>
      </c>
      <c r="J10" s="11">
        <f>Vlookup(D10,'Customer Table'!$A$2:$C$7,3,FALSE)</f>
        <v>0.12</v>
      </c>
      <c r="K10" s="10">
        <f t="shared" si="2"/>
        <v>325800</v>
      </c>
      <c r="L10" s="10">
        <f t="shared" si="3"/>
        <v>39096</v>
      </c>
      <c r="M10" s="10">
        <f t="shared" si="4"/>
        <v>286704</v>
      </c>
      <c r="N10" s="10" t="str">
        <f>vlookup(B10,'Product Table'!$A$2:$B$11,2,FALSE)</f>
        <v>Decor</v>
      </c>
    </row>
    <row r="11">
      <c r="A11" s="4" t="s">
        <v>32</v>
      </c>
      <c r="B11" s="5" t="s">
        <v>13</v>
      </c>
      <c r="C11" s="5" t="s">
        <v>33</v>
      </c>
      <c r="D11" s="6" t="s">
        <v>11</v>
      </c>
      <c r="E11" s="7">
        <f>IFERROR(__xludf.DUMMYFUNCTION("SPLIT(C11,""/"")"),451.0)</f>
        <v>451</v>
      </c>
      <c r="F11" s="7" t="str">
        <f>IFERROR(__xludf.DUMMYFUNCTION("""COMPUTED_VALUE"""),"XYZ084")</f>
        <v>XYZ084</v>
      </c>
      <c r="G11" s="7" t="str">
        <f>IFERROR(__xludf.DUMMYFUNCTION("""COMPUTED_VALUE"""),"March")</f>
        <v>March</v>
      </c>
      <c r="H11" s="7">
        <f t="shared" si="1"/>
        <v>451</v>
      </c>
      <c r="I11" s="10">
        <f>VLookup(B11,'Product Table'!$A$2:$C$11,3,FALSE)</f>
        <v>1100</v>
      </c>
      <c r="J11" s="11">
        <f>Vlookup(D11,'Customer Table'!$A$2:$C$7,3,FALSE)</f>
        <v>0.06</v>
      </c>
      <c r="K11" s="10">
        <f t="shared" si="2"/>
        <v>496100</v>
      </c>
      <c r="L11" s="10">
        <f t="shared" si="3"/>
        <v>29766</v>
      </c>
      <c r="M11" s="10">
        <f t="shared" si="4"/>
        <v>466334</v>
      </c>
      <c r="N11" s="10" t="str">
        <f>vlookup(B11,'Product Table'!$A$2:$B$11,2,FALSE)</f>
        <v>Decor</v>
      </c>
    </row>
    <row r="12">
      <c r="A12" s="4" t="s">
        <v>34</v>
      </c>
      <c r="B12" s="5" t="s">
        <v>30</v>
      </c>
      <c r="C12" s="5" t="s">
        <v>35</v>
      </c>
      <c r="D12" s="6" t="s">
        <v>22</v>
      </c>
      <c r="E12" s="7">
        <f>IFERROR(__xludf.DUMMYFUNCTION("SPLIT(C12,""/"")"),511.0)</f>
        <v>511</v>
      </c>
      <c r="F12" s="7" t="str">
        <f>IFERROR(__xludf.DUMMYFUNCTION("""COMPUTED_VALUE"""),"XYZ084")</f>
        <v>XYZ084</v>
      </c>
      <c r="G12" s="7" t="str">
        <f>IFERROR(__xludf.DUMMYFUNCTION("""COMPUTED_VALUE"""),"September")</f>
        <v>September</v>
      </c>
      <c r="H12" s="7">
        <f t="shared" si="1"/>
        <v>511</v>
      </c>
      <c r="I12" s="10">
        <f>VLookup(B12,'Product Table'!$A$2:$C$11,3,FALSE)</f>
        <v>900</v>
      </c>
      <c r="J12" s="11">
        <f>Vlookup(D12,'Customer Table'!$A$2:$C$7,3,FALSE)</f>
        <v>0.1</v>
      </c>
      <c r="K12" s="10">
        <f t="shared" si="2"/>
        <v>459900</v>
      </c>
      <c r="L12" s="10">
        <f t="shared" si="3"/>
        <v>45990</v>
      </c>
      <c r="M12" s="10">
        <f t="shared" si="4"/>
        <v>413910</v>
      </c>
      <c r="N12" s="10" t="str">
        <f>vlookup(B12,'Product Table'!$A$2:$B$11,2,FALSE)</f>
        <v>Decor</v>
      </c>
    </row>
    <row r="13">
      <c r="A13" s="4" t="s">
        <v>36</v>
      </c>
      <c r="B13" s="5" t="s">
        <v>13</v>
      </c>
      <c r="C13" s="5" t="s">
        <v>37</v>
      </c>
      <c r="D13" s="6" t="s">
        <v>28</v>
      </c>
      <c r="E13" s="7">
        <f>IFERROR(__xludf.DUMMYFUNCTION("SPLIT(C13,""/"")"),368.0)</f>
        <v>368</v>
      </c>
      <c r="F13" s="7" t="str">
        <f>IFERROR(__xludf.DUMMYFUNCTION("""COMPUTED_VALUE"""),"XYZ081")</f>
        <v>XYZ081</v>
      </c>
      <c r="G13" s="7" t="str">
        <f>IFERROR(__xludf.DUMMYFUNCTION("""COMPUTED_VALUE"""),"June")</f>
        <v>June</v>
      </c>
      <c r="H13" s="7">
        <f t="shared" si="1"/>
        <v>368</v>
      </c>
      <c r="I13" s="10">
        <f>VLookup(B13,'Product Table'!$A$2:$C$11,3,FALSE)</f>
        <v>1100</v>
      </c>
      <c r="J13" s="11">
        <f>Vlookup(D13,'Customer Table'!$A$2:$C$7,3,FALSE)</f>
        <v>0.15</v>
      </c>
      <c r="K13" s="10">
        <f t="shared" si="2"/>
        <v>404800</v>
      </c>
      <c r="L13" s="10">
        <f t="shared" si="3"/>
        <v>60720</v>
      </c>
      <c r="M13" s="10">
        <f t="shared" si="4"/>
        <v>344080</v>
      </c>
      <c r="N13" s="10" t="str">
        <f>vlookup(B13,'Product Table'!$A$2:$B$11,2,FALSE)</f>
        <v>Decor</v>
      </c>
    </row>
    <row r="14">
      <c r="A14" s="4" t="s">
        <v>38</v>
      </c>
      <c r="B14" s="5" t="s">
        <v>30</v>
      </c>
      <c r="C14" s="5" t="s">
        <v>39</v>
      </c>
      <c r="D14" s="6" t="s">
        <v>7</v>
      </c>
      <c r="E14" s="7">
        <f>IFERROR(__xludf.DUMMYFUNCTION("SPLIT(C14,""/"")"),543.0)</f>
        <v>543</v>
      </c>
      <c r="F14" s="7" t="str">
        <f>IFERROR(__xludf.DUMMYFUNCTION("""COMPUTED_VALUE"""),"XYZ083")</f>
        <v>XYZ083</v>
      </c>
      <c r="G14" s="7" t="str">
        <f>IFERROR(__xludf.DUMMYFUNCTION("""COMPUTED_VALUE"""),"May")</f>
        <v>May</v>
      </c>
      <c r="H14" s="7">
        <f t="shared" si="1"/>
        <v>543</v>
      </c>
      <c r="I14" s="10">
        <f>VLookup(B14,'Product Table'!$A$2:$C$11,3,FALSE)</f>
        <v>900</v>
      </c>
      <c r="J14" s="11">
        <f>Vlookup(D14,'Customer Table'!$A$2:$C$7,3,FALSE)</f>
        <v>0.08</v>
      </c>
      <c r="K14" s="10">
        <f t="shared" si="2"/>
        <v>488700</v>
      </c>
      <c r="L14" s="10">
        <f t="shared" si="3"/>
        <v>39096</v>
      </c>
      <c r="M14" s="10">
        <f t="shared" si="4"/>
        <v>449604</v>
      </c>
      <c r="N14" s="10" t="str">
        <f>vlookup(B14,'Product Table'!$A$2:$B$11,2,FALSE)</f>
        <v>Decor</v>
      </c>
    </row>
    <row r="15">
      <c r="A15" s="4" t="s">
        <v>40</v>
      </c>
      <c r="B15" s="5" t="s">
        <v>41</v>
      </c>
      <c r="C15" s="5" t="s">
        <v>42</v>
      </c>
      <c r="D15" s="6" t="s">
        <v>7</v>
      </c>
      <c r="E15" s="7">
        <f>IFERROR(__xludf.DUMMYFUNCTION("SPLIT(C15,""/"")"),534.0)</f>
        <v>534</v>
      </c>
      <c r="F15" s="7" t="str">
        <f>IFERROR(__xludf.DUMMYFUNCTION("""COMPUTED_VALUE"""),"XYZ085")</f>
        <v>XYZ085</v>
      </c>
      <c r="G15" s="7" t="str">
        <f>IFERROR(__xludf.DUMMYFUNCTION("""COMPUTED_VALUE"""),"February")</f>
        <v>February</v>
      </c>
      <c r="H15" s="7">
        <f t="shared" si="1"/>
        <v>534</v>
      </c>
      <c r="I15" s="10">
        <f>VLookup(B15,'Product Table'!$A$2:$C$11,3,FALSE)</f>
        <v>900</v>
      </c>
      <c r="J15" s="11">
        <f>Vlookup(D15,'Customer Table'!$A$2:$C$7,3,FALSE)</f>
        <v>0.08</v>
      </c>
      <c r="K15" s="10">
        <f t="shared" si="2"/>
        <v>480600</v>
      </c>
      <c r="L15" s="10">
        <f t="shared" si="3"/>
        <v>38448</v>
      </c>
      <c r="M15" s="10">
        <f t="shared" si="4"/>
        <v>442152</v>
      </c>
      <c r="N15" s="10" t="str">
        <f>vlookup(B15,'Product Table'!$A$2:$B$11,2,FALSE)</f>
        <v>Lighting</v>
      </c>
    </row>
    <row r="16">
      <c r="A16" s="4" t="s">
        <v>43</v>
      </c>
      <c r="B16" s="5" t="s">
        <v>24</v>
      </c>
      <c r="C16" s="5" t="s">
        <v>44</v>
      </c>
      <c r="D16" s="6" t="s">
        <v>7</v>
      </c>
      <c r="E16" s="7">
        <f>IFERROR(__xludf.DUMMYFUNCTION("SPLIT(C16,""/"")"),438.0)</f>
        <v>438</v>
      </c>
      <c r="F16" s="7" t="str">
        <f>IFERROR(__xludf.DUMMYFUNCTION("""COMPUTED_VALUE"""),"XYZ079")</f>
        <v>XYZ079</v>
      </c>
      <c r="G16" s="7" t="str">
        <f>IFERROR(__xludf.DUMMYFUNCTION("""COMPUTED_VALUE"""),"September")</f>
        <v>September</v>
      </c>
      <c r="H16" s="7">
        <f t="shared" si="1"/>
        <v>438</v>
      </c>
      <c r="I16" s="10">
        <f>VLookup(B16,'Product Table'!$A$2:$C$11,3,FALSE)</f>
        <v>1900</v>
      </c>
      <c r="J16" s="11">
        <f>Vlookup(D16,'Customer Table'!$A$2:$C$7,3,FALSE)</f>
        <v>0.08</v>
      </c>
      <c r="K16" s="10">
        <f t="shared" si="2"/>
        <v>832200</v>
      </c>
      <c r="L16" s="10">
        <f t="shared" si="3"/>
        <v>66576</v>
      </c>
      <c r="M16" s="10">
        <f t="shared" si="4"/>
        <v>765624</v>
      </c>
      <c r="N16" s="10" t="str">
        <f>vlookup(B16,'Product Table'!$A$2:$B$11,2,FALSE)</f>
        <v>Lighting</v>
      </c>
    </row>
    <row r="17">
      <c r="A17" s="4" t="s">
        <v>45</v>
      </c>
      <c r="B17" s="5" t="s">
        <v>9</v>
      </c>
      <c r="C17" s="5" t="s">
        <v>46</v>
      </c>
      <c r="D17" s="6" t="s">
        <v>7</v>
      </c>
      <c r="E17" s="7">
        <f>IFERROR(__xludf.DUMMYFUNCTION("SPLIT(C17,""/"")"),407.0)</f>
        <v>407</v>
      </c>
      <c r="F17" s="7" t="str">
        <f>IFERROR(__xludf.DUMMYFUNCTION("""COMPUTED_VALUE"""),"XYZ078")</f>
        <v>XYZ078</v>
      </c>
      <c r="G17" s="7" t="str">
        <f>IFERROR(__xludf.DUMMYFUNCTION("""COMPUTED_VALUE"""),"May")</f>
        <v>May</v>
      </c>
      <c r="H17" s="7">
        <f t="shared" si="1"/>
        <v>407</v>
      </c>
      <c r="I17" s="10">
        <f>VLookup(B17,'Product Table'!$A$2:$C$11,3,FALSE)</f>
        <v>7300</v>
      </c>
      <c r="J17" s="11">
        <f>Vlookup(D17,'Customer Table'!$A$2:$C$7,3,FALSE)</f>
        <v>0.08</v>
      </c>
      <c r="K17" s="10">
        <f t="shared" si="2"/>
        <v>2971100</v>
      </c>
      <c r="L17" s="10">
        <f t="shared" si="3"/>
        <v>237688</v>
      </c>
      <c r="M17" s="10">
        <f t="shared" si="4"/>
        <v>2733412</v>
      </c>
      <c r="N17" s="10" t="str">
        <f>vlookup(B17,'Product Table'!$A$2:$B$11,2,FALSE)</f>
        <v>Furniture</v>
      </c>
    </row>
    <row r="18">
      <c r="A18" s="4" t="s">
        <v>47</v>
      </c>
      <c r="B18" s="5" t="s">
        <v>24</v>
      </c>
      <c r="C18" s="5" t="s">
        <v>48</v>
      </c>
      <c r="D18" s="6" t="s">
        <v>7</v>
      </c>
      <c r="E18" s="7">
        <f>IFERROR(__xludf.DUMMYFUNCTION("SPLIT(C18,""/"")"),357.0)</f>
        <v>357</v>
      </c>
      <c r="F18" s="7" t="str">
        <f>IFERROR(__xludf.DUMMYFUNCTION("""COMPUTED_VALUE"""),"XYZ080")</f>
        <v>XYZ080</v>
      </c>
      <c r="G18" s="7" t="str">
        <f>IFERROR(__xludf.DUMMYFUNCTION("""COMPUTED_VALUE"""),"October")</f>
        <v>October</v>
      </c>
      <c r="H18" s="7">
        <f t="shared" si="1"/>
        <v>357</v>
      </c>
      <c r="I18" s="10">
        <f>VLookup(B18,'Product Table'!$A$2:$C$11,3,FALSE)</f>
        <v>1900</v>
      </c>
      <c r="J18" s="11">
        <f>Vlookup(D18,'Customer Table'!$A$2:$C$7,3,FALSE)</f>
        <v>0.08</v>
      </c>
      <c r="K18" s="10">
        <f t="shared" si="2"/>
        <v>678300</v>
      </c>
      <c r="L18" s="10">
        <f t="shared" si="3"/>
        <v>54264</v>
      </c>
      <c r="M18" s="10">
        <f t="shared" si="4"/>
        <v>624036</v>
      </c>
      <c r="N18" s="10" t="str">
        <f>vlookup(B18,'Product Table'!$A$2:$B$11,2,FALSE)</f>
        <v>Lighting</v>
      </c>
    </row>
    <row r="19">
      <c r="A19" s="4" t="s">
        <v>49</v>
      </c>
      <c r="B19" s="5" t="s">
        <v>9</v>
      </c>
      <c r="C19" s="5" t="s">
        <v>50</v>
      </c>
      <c r="D19" s="6" t="s">
        <v>11</v>
      </c>
      <c r="E19" s="7">
        <f>IFERROR(__xludf.DUMMYFUNCTION("SPLIT(C19,""/"")"),508.0)</f>
        <v>508</v>
      </c>
      <c r="F19" s="7" t="str">
        <f>IFERROR(__xludf.DUMMYFUNCTION("""COMPUTED_VALUE"""),"XYZ085")</f>
        <v>XYZ085</v>
      </c>
      <c r="G19" s="7" t="str">
        <f>IFERROR(__xludf.DUMMYFUNCTION("""COMPUTED_VALUE"""),"November")</f>
        <v>November</v>
      </c>
      <c r="H19" s="7">
        <f t="shared" si="1"/>
        <v>508</v>
      </c>
      <c r="I19" s="10">
        <f>VLookup(B19,'Product Table'!$A$2:$C$11,3,FALSE)</f>
        <v>7300</v>
      </c>
      <c r="J19" s="11">
        <f>Vlookup(D19,'Customer Table'!$A$2:$C$7,3,FALSE)</f>
        <v>0.06</v>
      </c>
      <c r="K19" s="10">
        <f t="shared" si="2"/>
        <v>3708400</v>
      </c>
      <c r="L19" s="10">
        <f t="shared" si="3"/>
        <v>222504</v>
      </c>
      <c r="M19" s="10">
        <f t="shared" si="4"/>
        <v>3485896</v>
      </c>
      <c r="N19" s="10" t="str">
        <f>vlookup(B19,'Product Table'!$A$2:$B$11,2,FALSE)</f>
        <v>Furniture</v>
      </c>
    </row>
    <row r="20">
      <c r="A20" s="4" t="s">
        <v>51</v>
      </c>
      <c r="B20" s="5" t="s">
        <v>13</v>
      </c>
      <c r="C20" s="5" t="s">
        <v>52</v>
      </c>
      <c r="D20" s="6" t="s">
        <v>22</v>
      </c>
      <c r="E20" s="7">
        <f>IFERROR(__xludf.DUMMYFUNCTION("SPLIT(C20,""/"")"),576.0)</f>
        <v>576</v>
      </c>
      <c r="F20" s="7" t="str">
        <f>IFERROR(__xludf.DUMMYFUNCTION("""COMPUTED_VALUE"""),"XYZ086")</f>
        <v>XYZ086</v>
      </c>
      <c r="G20" s="7" t="str">
        <f>IFERROR(__xludf.DUMMYFUNCTION("""COMPUTED_VALUE"""),"April")</f>
        <v>April</v>
      </c>
      <c r="H20" s="7">
        <f t="shared" si="1"/>
        <v>576</v>
      </c>
      <c r="I20" s="10">
        <f>VLookup(B20,'Product Table'!$A$2:$C$11,3,FALSE)</f>
        <v>1100</v>
      </c>
      <c r="J20" s="11">
        <f>Vlookup(D20,'Customer Table'!$A$2:$C$7,3,FALSE)</f>
        <v>0.1</v>
      </c>
      <c r="K20" s="10">
        <f t="shared" si="2"/>
        <v>633600</v>
      </c>
      <c r="L20" s="10">
        <f t="shared" si="3"/>
        <v>63360</v>
      </c>
      <c r="M20" s="10">
        <f t="shared" si="4"/>
        <v>570240</v>
      </c>
      <c r="N20" s="10" t="str">
        <f>vlookup(B20,'Product Table'!$A$2:$B$11,2,FALSE)</f>
        <v>Decor</v>
      </c>
    </row>
    <row r="21">
      <c r="A21" s="4" t="s">
        <v>53</v>
      </c>
      <c r="B21" s="5" t="s">
        <v>54</v>
      </c>
      <c r="C21" s="5" t="s">
        <v>55</v>
      </c>
      <c r="D21" s="6" t="s">
        <v>56</v>
      </c>
      <c r="E21" s="7">
        <f>IFERROR(__xludf.DUMMYFUNCTION("SPLIT(C21,""/"")"),460.0)</f>
        <v>460</v>
      </c>
      <c r="F21" s="7" t="str">
        <f>IFERROR(__xludf.DUMMYFUNCTION("""COMPUTED_VALUE"""),"XYZ083")</f>
        <v>XYZ083</v>
      </c>
      <c r="G21" s="7" t="str">
        <f>IFERROR(__xludf.DUMMYFUNCTION("""COMPUTED_VALUE"""),"January")</f>
        <v>January</v>
      </c>
      <c r="H21" s="7">
        <f t="shared" si="1"/>
        <v>460</v>
      </c>
      <c r="I21" s="10">
        <f>VLookup(B21,'Product Table'!$A$2:$C$11,3,FALSE)</f>
        <v>1200</v>
      </c>
      <c r="J21" s="11">
        <f>Vlookup(D21,'Customer Table'!$A$2:$C$7,3,FALSE)</f>
        <v>0.05</v>
      </c>
      <c r="K21" s="10">
        <f t="shared" si="2"/>
        <v>552000</v>
      </c>
      <c r="L21" s="10">
        <f t="shared" si="3"/>
        <v>27600</v>
      </c>
      <c r="M21" s="10">
        <f t="shared" si="4"/>
        <v>524400</v>
      </c>
      <c r="N21" s="10" t="str">
        <f>vlookup(B21,'Product Table'!$A$2:$B$11,2,FALSE)</f>
        <v>Lighting</v>
      </c>
    </row>
    <row r="22">
      <c r="A22" s="4" t="s">
        <v>57</v>
      </c>
      <c r="B22" s="5" t="s">
        <v>58</v>
      </c>
      <c r="C22" s="5" t="s">
        <v>59</v>
      </c>
      <c r="D22" s="6" t="s">
        <v>56</v>
      </c>
      <c r="E22" s="7">
        <f>IFERROR(__xludf.DUMMYFUNCTION("SPLIT(C22,""/"")"),609.0)</f>
        <v>609</v>
      </c>
      <c r="F22" s="7" t="str">
        <f>IFERROR(__xludf.DUMMYFUNCTION("""COMPUTED_VALUE"""),"XYZ078")</f>
        <v>XYZ078</v>
      </c>
      <c r="G22" s="7" t="str">
        <f>IFERROR(__xludf.DUMMYFUNCTION("""COMPUTED_VALUE"""),"April")</f>
        <v>April</v>
      </c>
      <c r="H22" s="7">
        <f t="shared" si="1"/>
        <v>609</v>
      </c>
      <c r="I22" s="10">
        <f>VLookup(B22,'Product Table'!$A$2:$C$11,3,FALSE)</f>
        <v>3000</v>
      </c>
      <c r="J22" s="11">
        <f>Vlookup(D22,'Customer Table'!$A$2:$C$7,3,FALSE)</f>
        <v>0.05</v>
      </c>
      <c r="K22" s="10">
        <f t="shared" si="2"/>
        <v>1827000</v>
      </c>
      <c r="L22" s="10">
        <f t="shared" si="3"/>
        <v>91350</v>
      </c>
      <c r="M22" s="10">
        <f t="shared" si="4"/>
        <v>1735650</v>
      </c>
      <c r="N22" s="10" t="str">
        <f>vlookup(B22,'Product Table'!$A$2:$B$11,2,FALSE)</f>
        <v>Furniture</v>
      </c>
    </row>
    <row r="23">
      <c r="A23" s="4" t="s">
        <v>60</v>
      </c>
      <c r="B23" s="5" t="s">
        <v>24</v>
      </c>
      <c r="C23" s="5" t="s">
        <v>61</v>
      </c>
      <c r="D23" s="6" t="s">
        <v>22</v>
      </c>
      <c r="E23" s="7">
        <f>IFERROR(__xludf.DUMMYFUNCTION("SPLIT(C23,""/"")"),524.0)</f>
        <v>524</v>
      </c>
      <c r="F23" s="7" t="str">
        <f>IFERROR(__xludf.DUMMYFUNCTION("""COMPUTED_VALUE"""),"XYZ079")</f>
        <v>XYZ079</v>
      </c>
      <c r="G23" s="7" t="str">
        <f>IFERROR(__xludf.DUMMYFUNCTION("""COMPUTED_VALUE"""),"August")</f>
        <v>August</v>
      </c>
      <c r="H23" s="7">
        <f t="shared" si="1"/>
        <v>524</v>
      </c>
      <c r="I23" s="10">
        <f>VLookup(B23,'Product Table'!$A$2:$C$11,3,FALSE)</f>
        <v>1900</v>
      </c>
      <c r="J23" s="11">
        <f>Vlookup(D23,'Customer Table'!$A$2:$C$7,3,FALSE)</f>
        <v>0.1</v>
      </c>
      <c r="K23" s="10">
        <f t="shared" si="2"/>
        <v>995600</v>
      </c>
      <c r="L23" s="10">
        <f t="shared" si="3"/>
        <v>99560</v>
      </c>
      <c r="M23" s="10">
        <f t="shared" si="4"/>
        <v>896040</v>
      </c>
      <c r="N23" s="10" t="str">
        <f>vlookup(B23,'Product Table'!$A$2:$B$11,2,FALSE)</f>
        <v>Lighting</v>
      </c>
    </row>
    <row r="24">
      <c r="A24" s="4" t="s">
        <v>62</v>
      </c>
      <c r="B24" s="5" t="s">
        <v>63</v>
      </c>
      <c r="C24" s="5" t="s">
        <v>64</v>
      </c>
      <c r="D24" s="6" t="s">
        <v>56</v>
      </c>
      <c r="E24" s="7">
        <f>IFERROR(__xludf.DUMMYFUNCTION("SPLIT(C24,""/"")"),556.0)</f>
        <v>556</v>
      </c>
      <c r="F24" s="7" t="str">
        <f>IFERROR(__xludf.DUMMYFUNCTION("""COMPUTED_VALUE"""),"XYZ078")</f>
        <v>XYZ078</v>
      </c>
      <c r="G24" s="7" t="str">
        <f>IFERROR(__xludf.DUMMYFUNCTION("""COMPUTED_VALUE"""),"August")</f>
        <v>August</v>
      </c>
      <c r="H24" s="7">
        <f t="shared" si="1"/>
        <v>556</v>
      </c>
      <c r="I24" s="10">
        <f>VLookup(B24,'Product Table'!$A$2:$C$11,3,FALSE)</f>
        <v>6800</v>
      </c>
      <c r="J24" s="11">
        <f>Vlookup(D24,'Customer Table'!$A$2:$C$7,3,FALSE)</f>
        <v>0.05</v>
      </c>
      <c r="K24" s="10">
        <f t="shared" si="2"/>
        <v>3780800</v>
      </c>
      <c r="L24" s="10">
        <f t="shared" si="3"/>
        <v>189040</v>
      </c>
      <c r="M24" s="10">
        <f t="shared" si="4"/>
        <v>3591760</v>
      </c>
      <c r="N24" s="10" t="str">
        <f>vlookup(B24,'Product Table'!$A$2:$B$11,2,FALSE)</f>
        <v>Bedding</v>
      </c>
    </row>
    <row r="25">
      <c r="A25" s="4" t="s">
        <v>65</v>
      </c>
      <c r="B25" s="5" t="s">
        <v>24</v>
      </c>
      <c r="C25" s="5" t="s">
        <v>66</v>
      </c>
      <c r="D25" s="6" t="s">
        <v>56</v>
      </c>
      <c r="E25" s="7">
        <f>IFERROR(__xludf.DUMMYFUNCTION("SPLIT(C25,""/"")"),619.0)</f>
        <v>619</v>
      </c>
      <c r="F25" s="7" t="str">
        <f>IFERROR(__xludf.DUMMYFUNCTION("""COMPUTED_VALUE"""),"XYZ081")</f>
        <v>XYZ081</v>
      </c>
      <c r="G25" s="7" t="str">
        <f>IFERROR(__xludf.DUMMYFUNCTION("""COMPUTED_VALUE"""),"January")</f>
        <v>January</v>
      </c>
      <c r="H25" s="7">
        <f t="shared" si="1"/>
        <v>619</v>
      </c>
      <c r="I25" s="10">
        <f>VLookup(B25,'Product Table'!$A$2:$C$11,3,FALSE)</f>
        <v>1900</v>
      </c>
      <c r="J25" s="11">
        <f>Vlookup(D25,'Customer Table'!$A$2:$C$7,3,FALSE)</f>
        <v>0.05</v>
      </c>
      <c r="K25" s="10">
        <f t="shared" si="2"/>
        <v>1176100</v>
      </c>
      <c r="L25" s="10">
        <f t="shared" si="3"/>
        <v>58805</v>
      </c>
      <c r="M25" s="10">
        <f t="shared" si="4"/>
        <v>1117295</v>
      </c>
      <c r="N25" s="10" t="str">
        <f>vlookup(B25,'Product Table'!$A$2:$B$11,2,FALSE)</f>
        <v>Lighting</v>
      </c>
    </row>
    <row r="26">
      <c r="A26" s="4" t="s">
        <v>67</v>
      </c>
      <c r="B26" s="5" t="s">
        <v>63</v>
      </c>
      <c r="C26" s="5" t="s">
        <v>68</v>
      </c>
      <c r="D26" s="6" t="s">
        <v>11</v>
      </c>
      <c r="E26" s="7">
        <f>IFERROR(__xludf.DUMMYFUNCTION("SPLIT(C26,""/"")"),343.0)</f>
        <v>343</v>
      </c>
      <c r="F26" s="7" t="str">
        <f>IFERROR(__xludf.DUMMYFUNCTION("""COMPUTED_VALUE"""),"XYZ080")</f>
        <v>XYZ080</v>
      </c>
      <c r="G26" s="7" t="str">
        <f>IFERROR(__xludf.DUMMYFUNCTION("""COMPUTED_VALUE"""),"June")</f>
        <v>June</v>
      </c>
      <c r="H26" s="7">
        <f t="shared" si="1"/>
        <v>343</v>
      </c>
      <c r="I26" s="10">
        <f>VLookup(B26,'Product Table'!$A$2:$C$11,3,FALSE)</f>
        <v>6800</v>
      </c>
      <c r="J26" s="11">
        <f>Vlookup(D26,'Customer Table'!$A$2:$C$7,3,FALSE)</f>
        <v>0.06</v>
      </c>
      <c r="K26" s="10">
        <f t="shared" si="2"/>
        <v>2332400</v>
      </c>
      <c r="L26" s="10">
        <f t="shared" si="3"/>
        <v>139944</v>
      </c>
      <c r="M26" s="10">
        <f t="shared" si="4"/>
        <v>2192456</v>
      </c>
      <c r="N26" s="10" t="str">
        <f>vlookup(B26,'Product Table'!$A$2:$B$11,2,FALSE)</f>
        <v>Bedding</v>
      </c>
    </row>
    <row r="27">
      <c r="A27" s="4" t="s">
        <v>69</v>
      </c>
      <c r="B27" s="5" t="s">
        <v>58</v>
      </c>
      <c r="C27" s="5" t="s">
        <v>70</v>
      </c>
      <c r="D27" s="6" t="s">
        <v>15</v>
      </c>
      <c r="E27" s="7">
        <f>IFERROR(__xludf.DUMMYFUNCTION("SPLIT(C27,""/"")"),599.0)</f>
        <v>599</v>
      </c>
      <c r="F27" s="7" t="str">
        <f>IFERROR(__xludf.DUMMYFUNCTION("""COMPUTED_VALUE"""),"XYZ085")</f>
        <v>XYZ085</v>
      </c>
      <c r="G27" s="7" t="str">
        <f>IFERROR(__xludf.DUMMYFUNCTION("""COMPUTED_VALUE"""),"August")</f>
        <v>August</v>
      </c>
      <c r="H27" s="7">
        <f t="shared" si="1"/>
        <v>599</v>
      </c>
      <c r="I27" s="10">
        <f>VLookup(B27,'Product Table'!$A$2:$C$11,3,FALSE)</f>
        <v>3000</v>
      </c>
      <c r="J27" s="11">
        <f>Vlookup(D27,'Customer Table'!$A$2:$C$7,3,FALSE)</f>
        <v>0.12</v>
      </c>
      <c r="K27" s="10">
        <f t="shared" si="2"/>
        <v>1797000</v>
      </c>
      <c r="L27" s="10">
        <f t="shared" si="3"/>
        <v>215640</v>
      </c>
      <c r="M27" s="10">
        <f t="shared" si="4"/>
        <v>1581360</v>
      </c>
      <c r="N27" s="10" t="str">
        <f>vlookup(B27,'Product Table'!$A$2:$B$11,2,FALSE)</f>
        <v>Furniture</v>
      </c>
    </row>
    <row r="28">
      <c r="A28" s="4" t="s">
        <v>71</v>
      </c>
      <c r="B28" s="5" t="s">
        <v>41</v>
      </c>
      <c r="C28" s="5" t="s">
        <v>72</v>
      </c>
      <c r="D28" s="6" t="s">
        <v>11</v>
      </c>
      <c r="E28" s="7">
        <f>IFERROR(__xludf.DUMMYFUNCTION("SPLIT(C28,""/"")"),599.0)</f>
        <v>599</v>
      </c>
      <c r="F28" s="7" t="str">
        <f>IFERROR(__xludf.DUMMYFUNCTION("""COMPUTED_VALUE"""),"XYZ082")</f>
        <v>XYZ082</v>
      </c>
      <c r="G28" s="7" t="str">
        <f>IFERROR(__xludf.DUMMYFUNCTION("""COMPUTED_VALUE"""),"December")</f>
        <v>December</v>
      </c>
      <c r="H28" s="7">
        <f t="shared" si="1"/>
        <v>599</v>
      </c>
      <c r="I28" s="10">
        <f>VLookup(B28,'Product Table'!$A$2:$C$11,3,FALSE)</f>
        <v>900</v>
      </c>
      <c r="J28" s="11">
        <f>Vlookup(D28,'Customer Table'!$A$2:$C$7,3,FALSE)</f>
        <v>0.06</v>
      </c>
      <c r="K28" s="10">
        <f t="shared" si="2"/>
        <v>539100</v>
      </c>
      <c r="L28" s="10">
        <f t="shared" si="3"/>
        <v>32346</v>
      </c>
      <c r="M28" s="10">
        <f t="shared" si="4"/>
        <v>506754</v>
      </c>
      <c r="N28" s="10" t="str">
        <f>vlookup(B28,'Product Table'!$A$2:$B$11,2,FALSE)</f>
        <v>Lighting</v>
      </c>
    </row>
    <row r="29">
      <c r="A29" s="4" t="s">
        <v>73</v>
      </c>
      <c r="B29" s="5" t="s">
        <v>63</v>
      </c>
      <c r="C29" s="5" t="s">
        <v>74</v>
      </c>
      <c r="D29" s="6" t="s">
        <v>28</v>
      </c>
      <c r="E29" s="7">
        <f>IFERROR(__xludf.DUMMYFUNCTION("SPLIT(C29,""/"")"),501.0)</f>
        <v>501</v>
      </c>
      <c r="F29" s="7" t="str">
        <f>IFERROR(__xludf.DUMMYFUNCTION("""COMPUTED_VALUE"""),"XYZ080")</f>
        <v>XYZ080</v>
      </c>
      <c r="G29" s="7" t="str">
        <f>IFERROR(__xludf.DUMMYFUNCTION("""COMPUTED_VALUE"""),"June")</f>
        <v>June</v>
      </c>
      <c r="H29" s="7">
        <f t="shared" si="1"/>
        <v>501</v>
      </c>
      <c r="I29" s="10">
        <f>VLookup(B29,'Product Table'!$A$2:$C$11,3,FALSE)</f>
        <v>6800</v>
      </c>
      <c r="J29" s="11">
        <f>Vlookup(D29,'Customer Table'!$A$2:$C$7,3,FALSE)</f>
        <v>0.15</v>
      </c>
      <c r="K29" s="10">
        <f t="shared" si="2"/>
        <v>3406800</v>
      </c>
      <c r="L29" s="10">
        <f t="shared" si="3"/>
        <v>511020</v>
      </c>
      <c r="M29" s="10">
        <f t="shared" si="4"/>
        <v>2895780</v>
      </c>
      <c r="N29" s="10" t="str">
        <f>vlookup(B29,'Product Table'!$A$2:$B$11,2,FALSE)</f>
        <v>Bedding</v>
      </c>
    </row>
    <row r="30">
      <c r="A30" s="4" t="s">
        <v>75</v>
      </c>
      <c r="B30" s="5" t="s">
        <v>76</v>
      </c>
      <c r="C30" s="5" t="s">
        <v>77</v>
      </c>
      <c r="D30" s="6" t="s">
        <v>56</v>
      </c>
      <c r="E30" s="7">
        <f>IFERROR(__xludf.DUMMYFUNCTION("SPLIT(C30,""/"")"),343.0)</f>
        <v>343</v>
      </c>
      <c r="F30" s="7" t="str">
        <f>IFERROR(__xludf.DUMMYFUNCTION("""COMPUTED_VALUE"""),"XYZ080")</f>
        <v>XYZ080</v>
      </c>
      <c r="G30" s="7" t="str">
        <f>IFERROR(__xludf.DUMMYFUNCTION("""COMPUTED_VALUE"""),"January")</f>
        <v>January</v>
      </c>
      <c r="H30" s="7">
        <f t="shared" si="1"/>
        <v>343</v>
      </c>
      <c r="I30" s="10">
        <f>VLookup(B30,'Product Table'!$A$2:$C$11,3,FALSE)</f>
        <v>8800</v>
      </c>
      <c r="J30" s="11">
        <f>Vlookup(D30,'Customer Table'!$A$2:$C$7,3,FALSE)</f>
        <v>0.05</v>
      </c>
      <c r="K30" s="10">
        <f t="shared" si="2"/>
        <v>3018400</v>
      </c>
      <c r="L30" s="10">
        <f t="shared" si="3"/>
        <v>150920</v>
      </c>
      <c r="M30" s="10">
        <f t="shared" si="4"/>
        <v>2867480</v>
      </c>
      <c r="N30" s="10" t="str">
        <f>vlookup(B30,'Product Table'!$A$2:$B$11,2,FALSE)</f>
        <v>Bedding</v>
      </c>
    </row>
    <row r="31">
      <c r="A31" s="4" t="s">
        <v>78</v>
      </c>
      <c r="B31" s="5" t="s">
        <v>9</v>
      </c>
      <c r="C31" s="5" t="s">
        <v>79</v>
      </c>
      <c r="D31" s="6" t="s">
        <v>28</v>
      </c>
      <c r="E31" s="7">
        <f>IFERROR(__xludf.DUMMYFUNCTION("SPLIT(C31,""/"")"),479.0)</f>
        <v>479</v>
      </c>
      <c r="F31" s="7" t="str">
        <f>IFERROR(__xludf.DUMMYFUNCTION("""COMPUTED_VALUE"""),"XYZ079")</f>
        <v>XYZ079</v>
      </c>
      <c r="G31" s="7" t="str">
        <f>IFERROR(__xludf.DUMMYFUNCTION("""COMPUTED_VALUE"""),"August")</f>
        <v>August</v>
      </c>
      <c r="H31" s="7">
        <f t="shared" si="1"/>
        <v>479</v>
      </c>
      <c r="I31" s="10">
        <f>VLookup(B31,'Product Table'!$A$2:$C$11,3,FALSE)</f>
        <v>7300</v>
      </c>
      <c r="J31" s="11">
        <f>Vlookup(D31,'Customer Table'!$A$2:$C$7,3,FALSE)</f>
        <v>0.15</v>
      </c>
      <c r="K31" s="10">
        <f t="shared" si="2"/>
        <v>3496700</v>
      </c>
      <c r="L31" s="10">
        <f t="shared" si="3"/>
        <v>524505</v>
      </c>
      <c r="M31" s="10">
        <f t="shared" si="4"/>
        <v>2972195</v>
      </c>
      <c r="N31" s="10" t="str">
        <f>vlookup(B31,'Product Table'!$A$2:$B$11,2,FALSE)</f>
        <v>Furniture</v>
      </c>
    </row>
    <row r="32">
      <c r="A32" s="4" t="s">
        <v>80</v>
      </c>
      <c r="B32" s="5" t="s">
        <v>76</v>
      </c>
      <c r="C32" s="5" t="s">
        <v>81</v>
      </c>
      <c r="D32" s="6" t="s">
        <v>11</v>
      </c>
      <c r="E32" s="7">
        <f>IFERROR(__xludf.DUMMYFUNCTION("SPLIT(C32,""/"")"),307.0)</f>
        <v>307</v>
      </c>
      <c r="F32" s="7" t="str">
        <f>IFERROR(__xludf.DUMMYFUNCTION("""COMPUTED_VALUE"""),"XYZ082")</f>
        <v>XYZ082</v>
      </c>
      <c r="G32" s="7" t="str">
        <f>IFERROR(__xludf.DUMMYFUNCTION("""COMPUTED_VALUE"""),"October")</f>
        <v>October</v>
      </c>
      <c r="H32" s="7">
        <f t="shared" si="1"/>
        <v>307</v>
      </c>
      <c r="I32" s="10">
        <f>VLookup(B32,'Product Table'!$A$2:$C$11,3,FALSE)</f>
        <v>8800</v>
      </c>
      <c r="J32" s="11">
        <f>Vlookup(D32,'Customer Table'!$A$2:$C$7,3,FALSE)</f>
        <v>0.06</v>
      </c>
      <c r="K32" s="10">
        <f t="shared" si="2"/>
        <v>2701600</v>
      </c>
      <c r="L32" s="10">
        <f t="shared" si="3"/>
        <v>162096</v>
      </c>
      <c r="M32" s="10">
        <f t="shared" si="4"/>
        <v>2539504</v>
      </c>
      <c r="N32" s="10" t="str">
        <f>vlookup(B32,'Product Table'!$A$2:$B$11,2,FALSE)</f>
        <v>Bedding</v>
      </c>
    </row>
    <row r="33">
      <c r="A33" s="4" t="s">
        <v>82</v>
      </c>
      <c r="B33" s="5" t="s">
        <v>54</v>
      </c>
      <c r="C33" s="5" t="s">
        <v>83</v>
      </c>
      <c r="D33" s="6" t="s">
        <v>22</v>
      </c>
      <c r="E33" s="7">
        <f>IFERROR(__xludf.DUMMYFUNCTION("SPLIT(C33,""/"")"),554.0)</f>
        <v>554</v>
      </c>
      <c r="F33" s="7" t="str">
        <f>IFERROR(__xludf.DUMMYFUNCTION("""COMPUTED_VALUE"""),"XYZ078")</f>
        <v>XYZ078</v>
      </c>
      <c r="G33" s="7" t="str">
        <f>IFERROR(__xludf.DUMMYFUNCTION("""COMPUTED_VALUE"""),"April")</f>
        <v>April</v>
      </c>
      <c r="H33" s="7">
        <f t="shared" si="1"/>
        <v>554</v>
      </c>
      <c r="I33" s="10">
        <f>VLookup(B33,'Product Table'!$A$2:$C$11,3,FALSE)</f>
        <v>1200</v>
      </c>
      <c r="J33" s="11">
        <f>Vlookup(D33,'Customer Table'!$A$2:$C$7,3,FALSE)</f>
        <v>0.1</v>
      </c>
      <c r="K33" s="10">
        <f t="shared" si="2"/>
        <v>664800</v>
      </c>
      <c r="L33" s="10">
        <f t="shared" si="3"/>
        <v>66480</v>
      </c>
      <c r="M33" s="10">
        <f t="shared" si="4"/>
        <v>598320</v>
      </c>
      <c r="N33" s="10" t="str">
        <f>vlookup(B33,'Product Table'!$A$2:$B$11,2,FALSE)</f>
        <v>Lighting</v>
      </c>
    </row>
    <row r="34">
      <c r="A34" s="4" t="s">
        <v>84</v>
      </c>
      <c r="B34" s="5" t="s">
        <v>24</v>
      </c>
      <c r="C34" s="5" t="s">
        <v>85</v>
      </c>
      <c r="D34" s="6" t="s">
        <v>56</v>
      </c>
      <c r="E34" s="7">
        <f>IFERROR(__xludf.DUMMYFUNCTION("SPLIT(C34,""/"")"),626.0)</f>
        <v>626</v>
      </c>
      <c r="F34" s="7" t="str">
        <f>IFERROR(__xludf.DUMMYFUNCTION("""COMPUTED_VALUE"""),"XYZ081")</f>
        <v>XYZ081</v>
      </c>
      <c r="G34" s="7" t="str">
        <f>IFERROR(__xludf.DUMMYFUNCTION("""COMPUTED_VALUE"""),"August")</f>
        <v>August</v>
      </c>
      <c r="H34" s="7">
        <f t="shared" si="1"/>
        <v>626</v>
      </c>
      <c r="I34" s="10">
        <f>VLookup(B34,'Product Table'!$A$2:$C$11,3,FALSE)</f>
        <v>1900</v>
      </c>
      <c r="J34" s="11">
        <f>Vlookup(D34,'Customer Table'!$A$2:$C$7,3,FALSE)</f>
        <v>0.05</v>
      </c>
      <c r="K34" s="10">
        <f t="shared" si="2"/>
        <v>1189400</v>
      </c>
      <c r="L34" s="10">
        <f t="shared" si="3"/>
        <v>59470</v>
      </c>
      <c r="M34" s="10">
        <f t="shared" si="4"/>
        <v>1129930</v>
      </c>
      <c r="N34" s="10" t="str">
        <f>vlookup(B34,'Product Table'!$A$2:$B$11,2,FALSE)</f>
        <v>Lighting</v>
      </c>
    </row>
    <row r="35">
      <c r="A35" s="4" t="s">
        <v>86</v>
      </c>
      <c r="B35" s="5" t="s">
        <v>30</v>
      </c>
      <c r="C35" s="5" t="s">
        <v>87</v>
      </c>
      <c r="D35" s="6" t="s">
        <v>15</v>
      </c>
      <c r="E35" s="7">
        <f>IFERROR(__xludf.DUMMYFUNCTION("SPLIT(C35,""/"")"),524.0)</f>
        <v>524</v>
      </c>
      <c r="F35" s="7" t="str">
        <f>IFERROR(__xludf.DUMMYFUNCTION("""COMPUTED_VALUE"""),"XYZ082")</f>
        <v>XYZ082</v>
      </c>
      <c r="G35" s="7" t="str">
        <f>IFERROR(__xludf.DUMMYFUNCTION("""COMPUTED_VALUE"""),"November")</f>
        <v>November</v>
      </c>
      <c r="H35" s="7">
        <f t="shared" si="1"/>
        <v>524</v>
      </c>
      <c r="I35" s="10">
        <f>VLookup(B35,'Product Table'!$A$2:$C$11,3,FALSE)</f>
        <v>900</v>
      </c>
      <c r="J35" s="11">
        <f>Vlookup(D35,'Customer Table'!$A$2:$C$7,3,FALSE)</f>
        <v>0.12</v>
      </c>
      <c r="K35" s="10">
        <f t="shared" si="2"/>
        <v>471600</v>
      </c>
      <c r="L35" s="10">
        <f t="shared" si="3"/>
        <v>56592</v>
      </c>
      <c r="M35" s="10">
        <f t="shared" si="4"/>
        <v>415008</v>
      </c>
      <c r="N35" s="10" t="str">
        <f>vlookup(B35,'Product Table'!$A$2:$B$11,2,FALSE)</f>
        <v>Decor</v>
      </c>
    </row>
    <row r="36">
      <c r="A36" s="4" t="s">
        <v>88</v>
      </c>
      <c r="B36" s="5" t="s">
        <v>54</v>
      </c>
      <c r="C36" s="5" t="s">
        <v>89</v>
      </c>
      <c r="D36" s="6" t="s">
        <v>7</v>
      </c>
      <c r="E36" s="7">
        <f>IFERROR(__xludf.DUMMYFUNCTION("SPLIT(C36,""/"")"),353.0)</f>
        <v>353</v>
      </c>
      <c r="F36" s="7" t="str">
        <f>IFERROR(__xludf.DUMMYFUNCTION("""COMPUTED_VALUE"""),"XYZ082")</f>
        <v>XYZ082</v>
      </c>
      <c r="G36" s="7" t="str">
        <f>IFERROR(__xludf.DUMMYFUNCTION("""COMPUTED_VALUE"""),"September")</f>
        <v>September</v>
      </c>
      <c r="H36" s="7">
        <f t="shared" si="1"/>
        <v>353</v>
      </c>
      <c r="I36" s="10">
        <f>VLookup(B36,'Product Table'!$A$2:$C$11,3,FALSE)</f>
        <v>1200</v>
      </c>
      <c r="J36" s="11">
        <f>Vlookup(D36,'Customer Table'!$A$2:$C$7,3,FALSE)</f>
        <v>0.08</v>
      </c>
      <c r="K36" s="10">
        <f t="shared" si="2"/>
        <v>423600</v>
      </c>
      <c r="L36" s="10">
        <f t="shared" si="3"/>
        <v>33888</v>
      </c>
      <c r="M36" s="10">
        <f t="shared" si="4"/>
        <v>389712</v>
      </c>
      <c r="N36" s="10" t="str">
        <f>vlookup(B36,'Product Table'!$A$2:$B$11,2,FALSE)</f>
        <v>Lighting</v>
      </c>
    </row>
    <row r="37">
      <c r="A37" s="4" t="s">
        <v>90</v>
      </c>
      <c r="B37" s="5" t="s">
        <v>76</v>
      </c>
      <c r="C37" s="5" t="s">
        <v>91</v>
      </c>
      <c r="D37" s="6" t="s">
        <v>11</v>
      </c>
      <c r="E37" s="7">
        <f>IFERROR(__xludf.DUMMYFUNCTION("SPLIT(C37,""/"")"),572.0)</f>
        <v>572</v>
      </c>
      <c r="F37" s="7" t="str">
        <f>IFERROR(__xludf.DUMMYFUNCTION("""COMPUTED_VALUE"""),"XYZ084")</f>
        <v>XYZ084</v>
      </c>
      <c r="G37" s="7" t="str">
        <f>IFERROR(__xludf.DUMMYFUNCTION("""COMPUTED_VALUE"""),"November")</f>
        <v>November</v>
      </c>
      <c r="H37" s="7">
        <f t="shared" si="1"/>
        <v>572</v>
      </c>
      <c r="I37" s="10">
        <f>VLookup(B37,'Product Table'!$A$2:$C$11,3,FALSE)</f>
        <v>8800</v>
      </c>
      <c r="J37" s="11">
        <f>Vlookup(D37,'Customer Table'!$A$2:$C$7,3,FALSE)</f>
        <v>0.06</v>
      </c>
      <c r="K37" s="10">
        <f t="shared" si="2"/>
        <v>5033600</v>
      </c>
      <c r="L37" s="10">
        <f t="shared" si="3"/>
        <v>302016</v>
      </c>
      <c r="M37" s="10">
        <f t="shared" si="4"/>
        <v>4731584</v>
      </c>
      <c r="N37" s="10" t="str">
        <f>vlookup(B37,'Product Table'!$A$2:$B$11,2,FALSE)</f>
        <v>Bedding</v>
      </c>
    </row>
    <row r="38">
      <c r="A38" s="4" t="s">
        <v>92</v>
      </c>
      <c r="B38" s="5" t="s">
        <v>24</v>
      </c>
      <c r="C38" s="5" t="s">
        <v>93</v>
      </c>
      <c r="D38" s="6" t="s">
        <v>11</v>
      </c>
      <c r="E38" s="7">
        <f>IFERROR(__xludf.DUMMYFUNCTION("SPLIT(C38,""/"")"),378.0)</f>
        <v>378</v>
      </c>
      <c r="F38" s="7" t="str">
        <f>IFERROR(__xludf.DUMMYFUNCTION("""COMPUTED_VALUE"""),"XYZ080")</f>
        <v>XYZ080</v>
      </c>
      <c r="G38" s="7" t="str">
        <f>IFERROR(__xludf.DUMMYFUNCTION("""COMPUTED_VALUE"""),"July")</f>
        <v>July</v>
      </c>
      <c r="H38" s="7">
        <f t="shared" si="1"/>
        <v>378</v>
      </c>
      <c r="I38" s="10">
        <f>VLookup(B38,'Product Table'!$A$2:$C$11,3,FALSE)</f>
        <v>1900</v>
      </c>
      <c r="J38" s="11">
        <f>Vlookup(D38,'Customer Table'!$A$2:$C$7,3,FALSE)</f>
        <v>0.06</v>
      </c>
      <c r="K38" s="10">
        <f t="shared" si="2"/>
        <v>718200</v>
      </c>
      <c r="L38" s="10">
        <f t="shared" si="3"/>
        <v>43092</v>
      </c>
      <c r="M38" s="10">
        <f t="shared" si="4"/>
        <v>675108</v>
      </c>
      <c r="N38" s="10" t="str">
        <f>vlookup(B38,'Product Table'!$A$2:$B$11,2,FALSE)</f>
        <v>Lighting</v>
      </c>
    </row>
    <row r="39">
      <c r="A39" s="4" t="s">
        <v>94</v>
      </c>
      <c r="B39" s="5" t="s">
        <v>76</v>
      </c>
      <c r="C39" s="5" t="s">
        <v>95</v>
      </c>
      <c r="D39" s="6" t="s">
        <v>15</v>
      </c>
      <c r="E39" s="7">
        <f>IFERROR(__xludf.DUMMYFUNCTION("SPLIT(C39,""/"")"),500.0)</f>
        <v>500</v>
      </c>
      <c r="F39" s="7" t="str">
        <f>IFERROR(__xludf.DUMMYFUNCTION("""COMPUTED_VALUE"""),"XYZ084")</f>
        <v>XYZ084</v>
      </c>
      <c r="G39" s="7" t="str">
        <f>IFERROR(__xludf.DUMMYFUNCTION("""COMPUTED_VALUE"""),"December")</f>
        <v>December</v>
      </c>
      <c r="H39" s="7">
        <f t="shared" si="1"/>
        <v>500</v>
      </c>
      <c r="I39" s="10">
        <f>VLookup(B39,'Product Table'!$A$2:$C$11,3,FALSE)</f>
        <v>8800</v>
      </c>
      <c r="J39" s="11">
        <f>Vlookup(D39,'Customer Table'!$A$2:$C$7,3,FALSE)</f>
        <v>0.12</v>
      </c>
      <c r="K39" s="10">
        <f t="shared" si="2"/>
        <v>4400000</v>
      </c>
      <c r="L39" s="10">
        <f t="shared" si="3"/>
        <v>528000</v>
      </c>
      <c r="M39" s="10">
        <f t="shared" si="4"/>
        <v>3872000</v>
      </c>
      <c r="N39" s="10" t="str">
        <f>vlookup(B39,'Product Table'!$A$2:$B$11,2,FALSE)</f>
        <v>Bedding</v>
      </c>
    </row>
    <row r="40">
      <c r="A40" s="4" t="s">
        <v>96</v>
      </c>
      <c r="B40" s="5" t="s">
        <v>58</v>
      </c>
      <c r="C40" s="5" t="s">
        <v>97</v>
      </c>
      <c r="D40" s="6" t="s">
        <v>15</v>
      </c>
      <c r="E40" s="7">
        <f>IFERROR(__xludf.DUMMYFUNCTION("SPLIT(C40,""/"")"),592.0)</f>
        <v>592</v>
      </c>
      <c r="F40" s="7" t="str">
        <f>IFERROR(__xludf.DUMMYFUNCTION("""COMPUTED_VALUE"""),"XYZ086")</f>
        <v>XYZ086</v>
      </c>
      <c r="G40" s="7" t="str">
        <f>IFERROR(__xludf.DUMMYFUNCTION("""COMPUTED_VALUE"""),"March")</f>
        <v>March</v>
      </c>
      <c r="H40" s="7">
        <f t="shared" si="1"/>
        <v>592</v>
      </c>
      <c r="I40" s="10">
        <f>VLookup(B40,'Product Table'!$A$2:$C$11,3,FALSE)</f>
        <v>3000</v>
      </c>
      <c r="J40" s="11">
        <f>Vlookup(D40,'Customer Table'!$A$2:$C$7,3,FALSE)</f>
        <v>0.12</v>
      </c>
      <c r="K40" s="10">
        <f t="shared" si="2"/>
        <v>1776000</v>
      </c>
      <c r="L40" s="10">
        <f t="shared" si="3"/>
        <v>213120</v>
      </c>
      <c r="M40" s="10">
        <f t="shared" si="4"/>
        <v>1562880</v>
      </c>
      <c r="N40" s="10" t="str">
        <f>vlookup(B40,'Product Table'!$A$2:$B$11,2,FALSE)</f>
        <v>Furniture</v>
      </c>
    </row>
    <row r="41">
      <c r="A41" s="4" t="s">
        <v>98</v>
      </c>
      <c r="B41" s="5" t="s">
        <v>9</v>
      </c>
      <c r="C41" s="5" t="s">
        <v>66</v>
      </c>
      <c r="D41" s="6" t="s">
        <v>7</v>
      </c>
      <c r="E41" s="7">
        <f>IFERROR(__xludf.DUMMYFUNCTION("SPLIT(C41,""/"")"),619.0)</f>
        <v>619</v>
      </c>
      <c r="F41" s="7" t="str">
        <f>IFERROR(__xludf.DUMMYFUNCTION("""COMPUTED_VALUE"""),"XYZ081")</f>
        <v>XYZ081</v>
      </c>
      <c r="G41" s="7" t="str">
        <f>IFERROR(__xludf.DUMMYFUNCTION("""COMPUTED_VALUE"""),"January")</f>
        <v>January</v>
      </c>
      <c r="H41" s="7">
        <f t="shared" si="1"/>
        <v>619</v>
      </c>
      <c r="I41" s="10">
        <f>VLookup(B41,'Product Table'!$A$2:$C$11,3,FALSE)</f>
        <v>7300</v>
      </c>
      <c r="J41" s="11">
        <f>Vlookup(D41,'Customer Table'!$A$2:$C$7,3,FALSE)</f>
        <v>0.08</v>
      </c>
      <c r="K41" s="10">
        <f t="shared" si="2"/>
        <v>4518700</v>
      </c>
      <c r="L41" s="10">
        <f t="shared" si="3"/>
        <v>361496</v>
      </c>
      <c r="M41" s="10">
        <f t="shared" si="4"/>
        <v>4157204</v>
      </c>
      <c r="N41" s="10" t="str">
        <f>vlookup(B41,'Product Table'!$A$2:$B$11,2,FALSE)</f>
        <v>Furniture</v>
      </c>
    </row>
    <row r="42">
      <c r="A42" s="4" t="s">
        <v>99</v>
      </c>
      <c r="B42" s="5" t="s">
        <v>54</v>
      </c>
      <c r="C42" s="5" t="s">
        <v>68</v>
      </c>
      <c r="D42" s="6" t="s">
        <v>11</v>
      </c>
      <c r="E42" s="7">
        <f>IFERROR(__xludf.DUMMYFUNCTION("SPLIT(C42,""/"")"),343.0)</f>
        <v>343</v>
      </c>
      <c r="F42" s="7" t="str">
        <f>IFERROR(__xludf.DUMMYFUNCTION("""COMPUTED_VALUE"""),"XYZ080")</f>
        <v>XYZ080</v>
      </c>
      <c r="G42" s="7" t="str">
        <f>IFERROR(__xludf.DUMMYFUNCTION("""COMPUTED_VALUE"""),"June")</f>
        <v>June</v>
      </c>
      <c r="H42" s="7">
        <f t="shared" si="1"/>
        <v>343</v>
      </c>
      <c r="I42" s="10">
        <f>VLookup(B42,'Product Table'!$A$2:$C$11,3,FALSE)</f>
        <v>1200</v>
      </c>
      <c r="J42" s="11">
        <f>Vlookup(D42,'Customer Table'!$A$2:$C$7,3,FALSE)</f>
        <v>0.06</v>
      </c>
      <c r="K42" s="10">
        <f t="shared" si="2"/>
        <v>411600</v>
      </c>
      <c r="L42" s="10">
        <f t="shared" si="3"/>
        <v>24696</v>
      </c>
      <c r="M42" s="10">
        <f t="shared" si="4"/>
        <v>386904</v>
      </c>
      <c r="N42" s="10" t="str">
        <f>vlookup(B42,'Product Table'!$A$2:$B$11,2,FALSE)</f>
        <v>Lighting</v>
      </c>
    </row>
    <row r="43">
      <c r="A43" s="4" t="s">
        <v>100</v>
      </c>
      <c r="B43" s="5" t="s">
        <v>30</v>
      </c>
      <c r="C43" s="5" t="s">
        <v>70</v>
      </c>
      <c r="D43" s="6" t="s">
        <v>15</v>
      </c>
      <c r="E43" s="7">
        <f>IFERROR(__xludf.DUMMYFUNCTION("SPLIT(C43,""/"")"),599.0)</f>
        <v>599</v>
      </c>
      <c r="F43" s="7" t="str">
        <f>IFERROR(__xludf.DUMMYFUNCTION("""COMPUTED_VALUE"""),"XYZ085")</f>
        <v>XYZ085</v>
      </c>
      <c r="G43" s="7" t="str">
        <f>IFERROR(__xludf.DUMMYFUNCTION("""COMPUTED_VALUE"""),"August")</f>
        <v>August</v>
      </c>
      <c r="H43" s="7">
        <f t="shared" si="1"/>
        <v>599</v>
      </c>
      <c r="I43" s="10">
        <f>VLookup(B43,'Product Table'!$A$2:$C$11,3,FALSE)</f>
        <v>900</v>
      </c>
      <c r="J43" s="11">
        <f>Vlookup(D43,'Customer Table'!$A$2:$C$7,3,FALSE)</f>
        <v>0.12</v>
      </c>
      <c r="K43" s="10">
        <f t="shared" si="2"/>
        <v>539100</v>
      </c>
      <c r="L43" s="10">
        <f t="shared" si="3"/>
        <v>64692</v>
      </c>
      <c r="M43" s="10">
        <f t="shared" si="4"/>
        <v>474408</v>
      </c>
      <c r="N43" s="10" t="str">
        <f>vlookup(B43,'Product Table'!$A$2:$B$11,2,FALSE)</f>
        <v>Decor</v>
      </c>
    </row>
    <row r="44">
      <c r="A44" s="4" t="s">
        <v>101</v>
      </c>
      <c r="B44" s="5" t="s">
        <v>54</v>
      </c>
      <c r="C44" s="5" t="s">
        <v>72</v>
      </c>
      <c r="D44" s="6" t="s">
        <v>7</v>
      </c>
      <c r="E44" s="7">
        <f>IFERROR(__xludf.DUMMYFUNCTION("SPLIT(C44,""/"")"),599.0)</f>
        <v>599</v>
      </c>
      <c r="F44" s="7" t="str">
        <f>IFERROR(__xludf.DUMMYFUNCTION("""COMPUTED_VALUE"""),"XYZ082")</f>
        <v>XYZ082</v>
      </c>
      <c r="G44" s="7" t="str">
        <f>IFERROR(__xludf.DUMMYFUNCTION("""COMPUTED_VALUE"""),"December")</f>
        <v>December</v>
      </c>
      <c r="H44" s="7">
        <f t="shared" si="1"/>
        <v>599</v>
      </c>
      <c r="I44" s="10">
        <f>VLookup(B44,'Product Table'!$A$2:$C$11,3,FALSE)</f>
        <v>1200</v>
      </c>
      <c r="J44" s="11">
        <f>Vlookup(D44,'Customer Table'!$A$2:$C$7,3,FALSE)</f>
        <v>0.08</v>
      </c>
      <c r="K44" s="10">
        <f t="shared" si="2"/>
        <v>718800</v>
      </c>
      <c r="L44" s="10">
        <f t="shared" si="3"/>
        <v>57504</v>
      </c>
      <c r="M44" s="10">
        <f t="shared" si="4"/>
        <v>661296</v>
      </c>
      <c r="N44" s="10" t="str">
        <f>vlookup(B44,'Product Table'!$A$2:$B$11,2,FALSE)</f>
        <v>Lighting</v>
      </c>
    </row>
    <row r="45">
      <c r="A45" s="4" t="s">
        <v>102</v>
      </c>
      <c r="B45" s="5" t="s">
        <v>58</v>
      </c>
      <c r="C45" s="5" t="s">
        <v>74</v>
      </c>
      <c r="D45" s="6" t="s">
        <v>7</v>
      </c>
      <c r="E45" s="7">
        <f>IFERROR(__xludf.DUMMYFUNCTION("SPLIT(C45,""/"")"),501.0)</f>
        <v>501</v>
      </c>
      <c r="F45" s="7" t="str">
        <f>IFERROR(__xludf.DUMMYFUNCTION("""COMPUTED_VALUE"""),"XYZ080")</f>
        <v>XYZ080</v>
      </c>
      <c r="G45" s="7" t="str">
        <f>IFERROR(__xludf.DUMMYFUNCTION("""COMPUTED_VALUE"""),"June")</f>
        <v>June</v>
      </c>
      <c r="H45" s="7">
        <f t="shared" si="1"/>
        <v>501</v>
      </c>
      <c r="I45" s="10">
        <f>VLookup(B45,'Product Table'!$A$2:$C$11,3,FALSE)</f>
        <v>3000</v>
      </c>
      <c r="J45" s="11">
        <f>Vlookup(D45,'Customer Table'!$A$2:$C$7,3,FALSE)</f>
        <v>0.08</v>
      </c>
      <c r="K45" s="10">
        <f t="shared" si="2"/>
        <v>1503000</v>
      </c>
      <c r="L45" s="10">
        <f t="shared" si="3"/>
        <v>120240</v>
      </c>
      <c r="M45" s="10">
        <f t="shared" si="4"/>
        <v>1382760</v>
      </c>
      <c r="N45" s="10" t="str">
        <f>vlookup(B45,'Product Table'!$A$2:$B$11,2,FALSE)</f>
        <v>Furniture</v>
      </c>
    </row>
    <row r="46">
      <c r="A46" s="4" t="s">
        <v>103</v>
      </c>
      <c r="B46" s="5" t="s">
        <v>76</v>
      </c>
      <c r="C46" s="5" t="s">
        <v>77</v>
      </c>
      <c r="D46" s="6" t="s">
        <v>22</v>
      </c>
      <c r="E46" s="7">
        <f>IFERROR(__xludf.DUMMYFUNCTION("SPLIT(C46,""/"")"),343.0)</f>
        <v>343</v>
      </c>
      <c r="F46" s="7" t="str">
        <f>IFERROR(__xludf.DUMMYFUNCTION("""COMPUTED_VALUE"""),"XYZ080")</f>
        <v>XYZ080</v>
      </c>
      <c r="G46" s="7" t="str">
        <f>IFERROR(__xludf.DUMMYFUNCTION("""COMPUTED_VALUE"""),"January")</f>
        <v>January</v>
      </c>
      <c r="H46" s="7">
        <f t="shared" si="1"/>
        <v>343</v>
      </c>
      <c r="I46" s="10">
        <f>VLookup(B46,'Product Table'!$A$2:$C$11,3,FALSE)</f>
        <v>8800</v>
      </c>
      <c r="J46" s="11">
        <f>Vlookup(D46,'Customer Table'!$A$2:$C$7,3,FALSE)</f>
        <v>0.1</v>
      </c>
      <c r="K46" s="10">
        <f t="shared" si="2"/>
        <v>3018400</v>
      </c>
      <c r="L46" s="10">
        <f t="shared" si="3"/>
        <v>301840</v>
      </c>
      <c r="M46" s="10">
        <f t="shared" si="4"/>
        <v>2716560</v>
      </c>
      <c r="N46" s="10" t="str">
        <f>vlookup(B46,'Product Table'!$A$2:$B$11,2,FALSE)</f>
        <v>Bedding</v>
      </c>
    </row>
    <row r="47">
      <c r="A47" s="4" t="s">
        <v>104</v>
      </c>
      <c r="B47" s="5" t="s">
        <v>30</v>
      </c>
      <c r="C47" s="5" t="s">
        <v>79</v>
      </c>
      <c r="D47" s="6" t="s">
        <v>7</v>
      </c>
      <c r="E47" s="7">
        <f>IFERROR(__xludf.DUMMYFUNCTION("SPLIT(C47,""/"")"),479.0)</f>
        <v>479</v>
      </c>
      <c r="F47" s="7" t="str">
        <f>IFERROR(__xludf.DUMMYFUNCTION("""COMPUTED_VALUE"""),"XYZ079")</f>
        <v>XYZ079</v>
      </c>
      <c r="G47" s="7" t="str">
        <f>IFERROR(__xludf.DUMMYFUNCTION("""COMPUTED_VALUE"""),"August")</f>
        <v>August</v>
      </c>
      <c r="H47" s="7">
        <f t="shared" si="1"/>
        <v>479</v>
      </c>
      <c r="I47" s="10">
        <f>VLookup(B47,'Product Table'!$A$2:$C$11,3,FALSE)</f>
        <v>900</v>
      </c>
      <c r="J47" s="11">
        <f>Vlookup(D47,'Customer Table'!$A$2:$C$7,3,FALSE)</f>
        <v>0.08</v>
      </c>
      <c r="K47" s="10">
        <f t="shared" si="2"/>
        <v>431100</v>
      </c>
      <c r="L47" s="10">
        <f t="shared" si="3"/>
        <v>34488</v>
      </c>
      <c r="M47" s="10">
        <f t="shared" si="4"/>
        <v>396612</v>
      </c>
      <c r="N47" s="10" t="str">
        <f>vlookup(B47,'Product Table'!$A$2:$B$11,2,FALSE)</f>
        <v>Decor</v>
      </c>
    </row>
    <row r="48">
      <c r="A48" s="4" t="s">
        <v>105</v>
      </c>
      <c r="B48" s="5" t="s">
        <v>63</v>
      </c>
      <c r="C48" s="5" t="s">
        <v>81</v>
      </c>
      <c r="D48" s="6" t="s">
        <v>28</v>
      </c>
      <c r="E48" s="7">
        <f>IFERROR(__xludf.DUMMYFUNCTION("SPLIT(C48,""/"")"),307.0)</f>
        <v>307</v>
      </c>
      <c r="F48" s="7" t="str">
        <f>IFERROR(__xludf.DUMMYFUNCTION("""COMPUTED_VALUE"""),"XYZ082")</f>
        <v>XYZ082</v>
      </c>
      <c r="G48" s="7" t="str">
        <f>IFERROR(__xludf.DUMMYFUNCTION("""COMPUTED_VALUE"""),"October")</f>
        <v>October</v>
      </c>
      <c r="H48" s="7">
        <f t="shared" si="1"/>
        <v>307</v>
      </c>
      <c r="I48" s="10">
        <f>VLookup(B48,'Product Table'!$A$2:$C$11,3,FALSE)</f>
        <v>6800</v>
      </c>
      <c r="J48" s="11">
        <f>Vlookup(D48,'Customer Table'!$A$2:$C$7,3,FALSE)</f>
        <v>0.15</v>
      </c>
      <c r="K48" s="10">
        <f t="shared" si="2"/>
        <v>2087600</v>
      </c>
      <c r="L48" s="10">
        <f t="shared" si="3"/>
        <v>313140</v>
      </c>
      <c r="M48" s="10">
        <f t="shared" si="4"/>
        <v>1774460</v>
      </c>
      <c r="N48" s="10" t="str">
        <f>vlookup(B48,'Product Table'!$A$2:$B$11,2,FALSE)</f>
        <v>Bedding</v>
      </c>
    </row>
    <row r="49">
      <c r="A49" s="4" t="s">
        <v>106</v>
      </c>
      <c r="B49" s="5" t="s">
        <v>41</v>
      </c>
      <c r="C49" s="5" t="s">
        <v>83</v>
      </c>
      <c r="D49" s="6" t="s">
        <v>15</v>
      </c>
      <c r="E49" s="7">
        <f>IFERROR(__xludf.DUMMYFUNCTION("SPLIT(C49,""/"")"),554.0)</f>
        <v>554</v>
      </c>
      <c r="F49" s="7" t="str">
        <f>IFERROR(__xludf.DUMMYFUNCTION("""COMPUTED_VALUE"""),"XYZ078")</f>
        <v>XYZ078</v>
      </c>
      <c r="G49" s="7" t="str">
        <f>IFERROR(__xludf.DUMMYFUNCTION("""COMPUTED_VALUE"""),"April")</f>
        <v>April</v>
      </c>
      <c r="H49" s="7">
        <f t="shared" si="1"/>
        <v>554</v>
      </c>
      <c r="I49" s="10">
        <f>VLookup(B49,'Product Table'!$A$2:$C$11,3,FALSE)</f>
        <v>900</v>
      </c>
      <c r="J49" s="11">
        <f>Vlookup(D49,'Customer Table'!$A$2:$C$7,3,FALSE)</f>
        <v>0.12</v>
      </c>
      <c r="K49" s="10">
        <f t="shared" si="2"/>
        <v>498600</v>
      </c>
      <c r="L49" s="10">
        <f t="shared" si="3"/>
        <v>59832</v>
      </c>
      <c r="M49" s="10">
        <f t="shared" si="4"/>
        <v>438768</v>
      </c>
      <c r="N49" s="10" t="str">
        <f>vlookup(B49,'Product Table'!$A$2:$B$11,2,FALSE)</f>
        <v>Lighting</v>
      </c>
    </row>
    <row r="50">
      <c r="A50" s="4" t="s">
        <v>107</v>
      </c>
      <c r="B50" s="5" t="s">
        <v>54</v>
      </c>
      <c r="C50" s="5" t="s">
        <v>85</v>
      </c>
      <c r="D50" s="6" t="s">
        <v>11</v>
      </c>
      <c r="E50" s="7">
        <f>IFERROR(__xludf.DUMMYFUNCTION("SPLIT(C50,""/"")"),626.0)</f>
        <v>626</v>
      </c>
      <c r="F50" s="7" t="str">
        <f>IFERROR(__xludf.DUMMYFUNCTION("""COMPUTED_VALUE"""),"XYZ081")</f>
        <v>XYZ081</v>
      </c>
      <c r="G50" s="7" t="str">
        <f>IFERROR(__xludf.DUMMYFUNCTION("""COMPUTED_VALUE"""),"August")</f>
        <v>August</v>
      </c>
      <c r="H50" s="7">
        <f t="shared" si="1"/>
        <v>626</v>
      </c>
      <c r="I50" s="10">
        <f>VLookup(B50,'Product Table'!$A$2:$C$11,3,FALSE)</f>
        <v>1200</v>
      </c>
      <c r="J50" s="11">
        <f>Vlookup(D50,'Customer Table'!$A$2:$C$7,3,FALSE)</f>
        <v>0.06</v>
      </c>
      <c r="K50" s="10">
        <f t="shared" si="2"/>
        <v>751200</v>
      </c>
      <c r="L50" s="10">
        <f t="shared" si="3"/>
        <v>45072</v>
      </c>
      <c r="M50" s="10">
        <f t="shared" si="4"/>
        <v>706128</v>
      </c>
      <c r="N50" s="10" t="str">
        <f>vlookup(B50,'Product Table'!$A$2:$B$11,2,FALSE)</f>
        <v>Lighting</v>
      </c>
    </row>
    <row r="51">
      <c r="A51" s="4" t="s">
        <v>108</v>
      </c>
      <c r="B51" s="5" t="s">
        <v>76</v>
      </c>
      <c r="C51" s="5" t="s">
        <v>87</v>
      </c>
      <c r="D51" s="6" t="s">
        <v>22</v>
      </c>
      <c r="E51" s="7">
        <f>IFERROR(__xludf.DUMMYFUNCTION("SPLIT(C51,""/"")"),524.0)</f>
        <v>524</v>
      </c>
      <c r="F51" s="7" t="str">
        <f>IFERROR(__xludf.DUMMYFUNCTION("""COMPUTED_VALUE"""),"XYZ082")</f>
        <v>XYZ082</v>
      </c>
      <c r="G51" s="7" t="str">
        <f>IFERROR(__xludf.DUMMYFUNCTION("""COMPUTED_VALUE"""),"November")</f>
        <v>November</v>
      </c>
      <c r="H51" s="7">
        <f t="shared" si="1"/>
        <v>524</v>
      </c>
      <c r="I51" s="10">
        <f>VLookup(B51,'Product Table'!$A$2:$C$11,3,FALSE)</f>
        <v>8800</v>
      </c>
      <c r="J51" s="11">
        <f>Vlookup(D51,'Customer Table'!$A$2:$C$7,3,FALSE)</f>
        <v>0.1</v>
      </c>
      <c r="K51" s="10">
        <f t="shared" si="2"/>
        <v>4611200</v>
      </c>
      <c r="L51" s="10">
        <f t="shared" si="3"/>
        <v>461120</v>
      </c>
      <c r="M51" s="10">
        <f t="shared" si="4"/>
        <v>4150080</v>
      </c>
      <c r="N51" s="10" t="str">
        <f>vlookup(B51,'Product Table'!$A$2:$B$11,2,FALSE)</f>
        <v>Bedding</v>
      </c>
    </row>
    <row r="52">
      <c r="A52" s="4" t="s">
        <v>109</v>
      </c>
      <c r="B52" s="5" t="s">
        <v>24</v>
      </c>
      <c r="C52" s="5" t="s">
        <v>89</v>
      </c>
      <c r="D52" s="6" t="s">
        <v>28</v>
      </c>
      <c r="E52" s="7">
        <f>IFERROR(__xludf.DUMMYFUNCTION("SPLIT(C52,""/"")"),353.0)</f>
        <v>353</v>
      </c>
      <c r="F52" s="7" t="str">
        <f>IFERROR(__xludf.DUMMYFUNCTION("""COMPUTED_VALUE"""),"XYZ082")</f>
        <v>XYZ082</v>
      </c>
      <c r="G52" s="7" t="str">
        <f>IFERROR(__xludf.DUMMYFUNCTION("""COMPUTED_VALUE"""),"September")</f>
        <v>September</v>
      </c>
      <c r="H52" s="7">
        <f t="shared" si="1"/>
        <v>353</v>
      </c>
      <c r="I52" s="10">
        <f>VLookup(B52,'Product Table'!$A$2:$C$11,3,FALSE)</f>
        <v>1900</v>
      </c>
      <c r="J52" s="11">
        <f>Vlookup(D52,'Customer Table'!$A$2:$C$7,3,FALSE)</f>
        <v>0.15</v>
      </c>
      <c r="K52" s="10">
        <f t="shared" si="2"/>
        <v>670700</v>
      </c>
      <c r="L52" s="10">
        <f t="shared" si="3"/>
        <v>100605</v>
      </c>
      <c r="M52" s="10">
        <f t="shared" si="4"/>
        <v>570095</v>
      </c>
      <c r="N52" s="10" t="str">
        <f>vlookup(B52,'Product Table'!$A$2:$B$11,2,FALSE)</f>
        <v>Lighting</v>
      </c>
    </row>
    <row r="53">
      <c r="A53" s="4" t="s">
        <v>110</v>
      </c>
      <c r="B53" s="5" t="s">
        <v>76</v>
      </c>
      <c r="C53" s="5" t="s">
        <v>111</v>
      </c>
      <c r="D53" s="6" t="s">
        <v>7</v>
      </c>
      <c r="E53" s="7">
        <f>IFERROR(__xludf.DUMMYFUNCTION("SPLIT(C53,""/"")"),592.0)</f>
        <v>592</v>
      </c>
      <c r="F53" s="7" t="str">
        <f>IFERROR(__xludf.DUMMYFUNCTION("""COMPUTED_VALUE"""),"XYZ083")</f>
        <v>XYZ083</v>
      </c>
      <c r="G53" s="7" t="str">
        <f>IFERROR(__xludf.DUMMYFUNCTION("""COMPUTED_VALUE"""),"January")</f>
        <v>January</v>
      </c>
      <c r="H53" s="7">
        <f t="shared" si="1"/>
        <v>592</v>
      </c>
      <c r="I53" s="10">
        <f>VLookup(B53,'Product Table'!$A$2:$C$11,3,FALSE)</f>
        <v>8800</v>
      </c>
      <c r="J53" s="11">
        <f>Vlookup(D53,'Customer Table'!$A$2:$C$7,3,FALSE)</f>
        <v>0.08</v>
      </c>
      <c r="K53" s="10">
        <f t="shared" si="2"/>
        <v>5209600</v>
      </c>
      <c r="L53" s="10">
        <f t="shared" si="3"/>
        <v>416768</v>
      </c>
      <c r="M53" s="10">
        <f t="shared" si="4"/>
        <v>4792832</v>
      </c>
      <c r="N53" s="10" t="str">
        <f>vlookup(B53,'Product Table'!$A$2:$B$11,2,FALSE)</f>
        <v>Bedding</v>
      </c>
    </row>
    <row r="54">
      <c r="A54" s="4" t="s">
        <v>112</v>
      </c>
      <c r="B54" s="5" t="s">
        <v>58</v>
      </c>
      <c r="C54" s="5" t="s">
        <v>97</v>
      </c>
      <c r="D54" s="6" t="s">
        <v>56</v>
      </c>
      <c r="E54" s="7">
        <f>IFERROR(__xludf.DUMMYFUNCTION("SPLIT(C54,""/"")"),592.0)</f>
        <v>592</v>
      </c>
      <c r="F54" s="7" t="str">
        <f>IFERROR(__xludf.DUMMYFUNCTION("""COMPUTED_VALUE"""),"XYZ086")</f>
        <v>XYZ086</v>
      </c>
      <c r="G54" s="7" t="str">
        <f>IFERROR(__xludf.DUMMYFUNCTION("""COMPUTED_VALUE"""),"March")</f>
        <v>March</v>
      </c>
      <c r="H54" s="7">
        <f t="shared" si="1"/>
        <v>592</v>
      </c>
      <c r="I54" s="10">
        <f>VLookup(B54,'Product Table'!$A$2:$C$11,3,FALSE)</f>
        <v>3000</v>
      </c>
      <c r="J54" s="11">
        <f>Vlookup(D54,'Customer Table'!$A$2:$C$7,3,FALSE)</f>
        <v>0.05</v>
      </c>
      <c r="K54" s="10">
        <f t="shared" si="2"/>
        <v>1776000</v>
      </c>
      <c r="L54" s="10">
        <f t="shared" si="3"/>
        <v>88800</v>
      </c>
      <c r="M54" s="10">
        <f t="shared" si="4"/>
        <v>1687200</v>
      </c>
      <c r="N54" s="10" t="str">
        <f>vlookup(B54,'Product Table'!$A$2:$B$11,2,FALSE)</f>
        <v>Furniture</v>
      </c>
    </row>
    <row r="55">
      <c r="A55" s="4" t="s">
        <v>113</v>
      </c>
      <c r="B55" s="5" t="s">
        <v>54</v>
      </c>
      <c r="C55" s="5" t="s">
        <v>114</v>
      </c>
      <c r="D55" s="6" t="s">
        <v>11</v>
      </c>
      <c r="E55" s="7">
        <f>IFERROR(__xludf.DUMMYFUNCTION("SPLIT(C55,""/"")"),592.0)</f>
        <v>592</v>
      </c>
      <c r="F55" s="7" t="str">
        <f>IFERROR(__xludf.DUMMYFUNCTION("""COMPUTED_VALUE"""),"XYZ079")</f>
        <v>XYZ079</v>
      </c>
      <c r="G55" s="7" t="str">
        <f>IFERROR(__xludf.DUMMYFUNCTION("""COMPUTED_VALUE"""),"March")</f>
        <v>March</v>
      </c>
      <c r="H55" s="7">
        <f t="shared" si="1"/>
        <v>592</v>
      </c>
      <c r="I55" s="10">
        <f>VLookup(B55,'Product Table'!$A$2:$C$11,3,FALSE)</f>
        <v>1200</v>
      </c>
      <c r="J55" s="11">
        <f>Vlookup(D55,'Customer Table'!$A$2:$C$7,3,FALSE)</f>
        <v>0.06</v>
      </c>
      <c r="K55" s="10">
        <f t="shared" si="2"/>
        <v>710400</v>
      </c>
      <c r="L55" s="10">
        <f t="shared" si="3"/>
        <v>42624</v>
      </c>
      <c r="M55" s="10">
        <f t="shared" si="4"/>
        <v>667776</v>
      </c>
      <c r="N55" s="10" t="str">
        <f>vlookup(B55,'Product Table'!$A$2:$B$11,2,FALSE)</f>
        <v>Lighting</v>
      </c>
    </row>
    <row r="56">
      <c r="A56" s="4" t="s">
        <v>115</v>
      </c>
      <c r="B56" s="5" t="s">
        <v>24</v>
      </c>
      <c r="C56" s="5" t="s">
        <v>116</v>
      </c>
      <c r="D56" s="6" t="s">
        <v>15</v>
      </c>
      <c r="E56" s="7">
        <f>IFERROR(__xludf.DUMMYFUNCTION("SPLIT(C56,""/"")"),334.0)</f>
        <v>334</v>
      </c>
      <c r="F56" s="7" t="str">
        <f>IFERROR(__xludf.DUMMYFUNCTION("""COMPUTED_VALUE"""),"XYZ084")</f>
        <v>XYZ084</v>
      </c>
      <c r="G56" s="7" t="str">
        <f>IFERROR(__xludf.DUMMYFUNCTION("""COMPUTED_VALUE"""),"December")</f>
        <v>December</v>
      </c>
      <c r="H56" s="7">
        <f t="shared" si="1"/>
        <v>334</v>
      </c>
      <c r="I56" s="10">
        <f>VLookup(B56,'Product Table'!$A$2:$C$11,3,FALSE)</f>
        <v>1900</v>
      </c>
      <c r="J56" s="11">
        <f>Vlookup(D56,'Customer Table'!$A$2:$C$7,3,FALSE)</f>
        <v>0.12</v>
      </c>
      <c r="K56" s="10">
        <f t="shared" si="2"/>
        <v>634600</v>
      </c>
      <c r="L56" s="10">
        <f t="shared" si="3"/>
        <v>76152</v>
      </c>
      <c r="M56" s="10">
        <f t="shared" si="4"/>
        <v>558448</v>
      </c>
      <c r="N56" s="10" t="str">
        <f>vlookup(B56,'Product Table'!$A$2:$B$11,2,FALSE)</f>
        <v>Lighting</v>
      </c>
    </row>
    <row r="57">
      <c r="A57" s="4" t="s">
        <v>117</v>
      </c>
      <c r="B57" s="5" t="s">
        <v>5</v>
      </c>
      <c r="C57" s="5" t="s">
        <v>118</v>
      </c>
      <c r="D57" s="6" t="s">
        <v>56</v>
      </c>
      <c r="E57" s="7">
        <f>IFERROR(__xludf.DUMMYFUNCTION("SPLIT(C57,""/"")"),699.0)</f>
        <v>699</v>
      </c>
      <c r="F57" s="7" t="str">
        <f>IFERROR(__xludf.DUMMYFUNCTION("""COMPUTED_VALUE"""),"XYZ082")</f>
        <v>XYZ082</v>
      </c>
      <c r="G57" s="7" t="str">
        <f>IFERROR(__xludf.DUMMYFUNCTION("""COMPUTED_VALUE"""),"January")</f>
        <v>January</v>
      </c>
      <c r="H57" s="7">
        <f t="shared" si="1"/>
        <v>699</v>
      </c>
      <c r="I57" s="10">
        <f>VLookup(B57,'Product Table'!$A$2:$C$11,3,FALSE)</f>
        <v>4700</v>
      </c>
      <c r="J57" s="11">
        <f>Vlookup(D57,'Customer Table'!$A$2:$C$7,3,FALSE)</f>
        <v>0.05</v>
      </c>
      <c r="K57" s="10">
        <f t="shared" si="2"/>
        <v>3285300</v>
      </c>
      <c r="L57" s="10">
        <f t="shared" si="3"/>
        <v>164265</v>
      </c>
      <c r="M57" s="10">
        <f t="shared" si="4"/>
        <v>3121035</v>
      </c>
      <c r="N57" s="10" t="str">
        <f>vlookup(B57,'Product Table'!$A$2:$B$11,2,FALSE)</f>
        <v>Dinning</v>
      </c>
    </row>
    <row r="58">
      <c r="A58" s="4" t="s">
        <v>119</v>
      </c>
      <c r="B58" s="5" t="s">
        <v>58</v>
      </c>
      <c r="C58" s="5" t="s">
        <v>120</v>
      </c>
      <c r="D58" s="6" t="s">
        <v>15</v>
      </c>
      <c r="E58" s="7">
        <f>IFERROR(__xludf.DUMMYFUNCTION("SPLIT(C58,""/"")"),411.0)</f>
        <v>411</v>
      </c>
      <c r="F58" s="7" t="str">
        <f>IFERROR(__xludf.DUMMYFUNCTION("""COMPUTED_VALUE"""),"XYZ082")</f>
        <v>XYZ082</v>
      </c>
      <c r="G58" s="7" t="str">
        <f>IFERROR(__xludf.DUMMYFUNCTION("""COMPUTED_VALUE"""),"November")</f>
        <v>November</v>
      </c>
      <c r="H58" s="7">
        <f t="shared" si="1"/>
        <v>411</v>
      </c>
      <c r="I58" s="10">
        <f>VLookup(B58,'Product Table'!$A$2:$C$11,3,FALSE)</f>
        <v>3000</v>
      </c>
      <c r="J58" s="11">
        <f>Vlookup(D58,'Customer Table'!$A$2:$C$7,3,FALSE)</f>
        <v>0.12</v>
      </c>
      <c r="K58" s="10">
        <f t="shared" si="2"/>
        <v>1233000</v>
      </c>
      <c r="L58" s="10">
        <f t="shared" si="3"/>
        <v>147960</v>
      </c>
      <c r="M58" s="10">
        <f t="shared" si="4"/>
        <v>1085040</v>
      </c>
      <c r="N58" s="10" t="str">
        <f>vlookup(B58,'Product Table'!$A$2:$B$11,2,FALSE)</f>
        <v>Furniture</v>
      </c>
    </row>
    <row r="59">
      <c r="A59" s="4" t="s">
        <v>121</v>
      </c>
      <c r="B59" s="5" t="s">
        <v>24</v>
      </c>
      <c r="C59" s="5" t="s">
        <v>122</v>
      </c>
      <c r="D59" s="6" t="s">
        <v>7</v>
      </c>
      <c r="E59" s="7">
        <f>IFERROR(__xludf.DUMMYFUNCTION("SPLIT(C59,""/"")"),690.0)</f>
        <v>690</v>
      </c>
      <c r="F59" s="7" t="str">
        <f>IFERROR(__xludf.DUMMYFUNCTION("""COMPUTED_VALUE"""),"XYZ079")</f>
        <v>XYZ079</v>
      </c>
      <c r="G59" s="7" t="str">
        <f>IFERROR(__xludf.DUMMYFUNCTION("""COMPUTED_VALUE"""),"June")</f>
        <v>June</v>
      </c>
      <c r="H59" s="7">
        <f t="shared" si="1"/>
        <v>690</v>
      </c>
      <c r="I59" s="10">
        <f>VLookup(B59,'Product Table'!$A$2:$C$11,3,FALSE)</f>
        <v>1900</v>
      </c>
      <c r="J59" s="11">
        <f>Vlookup(D59,'Customer Table'!$A$2:$C$7,3,FALSE)</f>
        <v>0.08</v>
      </c>
      <c r="K59" s="10">
        <f t="shared" si="2"/>
        <v>1311000</v>
      </c>
      <c r="L59" s="10">
        <f t="shared" si="3"/>
        <v>104880</v>
      </c>
      <c r="M59" s="10">
        <f t="shared" si="4"/>
        <v>1206120</v>
      </c>
      <c r="N59" s="10" t="str">
        <f>vlookup(B59,'Product Table'!$A$2:$B$11,2,FALSE)</f>
        <v>Lighting</v>
      </c>
    </row>
    <row r="60">
      <c r="A60" s="4" t="s">
        <v>123</v>
      </c>
      <c r="B60" s="5" t="s">
        <v>63</v>
      </c>
      <c r="C60" s="5" t="s">
        <v>124</v>
      </c>
      <c r="D60" s="6" t="s">
        <v>56</v>
      </c>
      <c r="E60" s="7">
        <f>IFERROR(__xludf.DUMMYFUNCTION("SPLIT(C60,""/"")"),550.0)</f>
        <v>550</v>
      </c>
      <c r="F60" s="7" t="str">
        <f>IFERROR(__xludf.DUMMYFUNCTION("""COMPUTED_VALUE"""),"XYZ081")</f>
        <v>XYZ081</v>
      </c>
      <c r="G60" s="7" t="str">
        <f>IFERROR(__xludf.DUMMYFUNCTION("""COMPUTED_VALUE"""),"April")</f>
        <v>April</v>
      </c>
      <c r="H60" s="7">
        <f t="shared" si="1"/>
        <v>550</v>
      </c>
      <c r="I60" s="10">
        <f>VLookup(B60,'Product Table'!$A$2:$C$11,3,FALSE)</f>
        <v>6800</v>
      </c>
      <c r="J60" s="11">
        <f>Vlookup(D60,'Customer Table'!$A$2:$C$7,3,FALSE)</f>
        <v>0.05</v>
      </c>
      <c r="K60" s="10">
        <f t="shared" si="2"/>
        <v>3740000</v>
      </c>
      <c r="L60" s="10">
        <f t="shared" si="3"/>
        <v>187000</v>
      </c>
      <c r="M60" s="10">
        <f t="shared" si="4"/>
        <v>3553000</v>
      </c>
      <c r="N60" s="10" t="str">
        <f>vlookup(B60,'Product Table'!$A$2:$B$11,2,FALSE)</f>
        <v>Bedding</v>
      </c>
    </row>
    <row r="61">
      <c r="A61" s="4" t="s">
        <v>125</v>
      </c>
      <c r="B61" s="5" t="s">
        <v>5</v>
      </c>
      <c r="C61" s="5" t="s">
        <v>126</v>
      </c>
      <c r="D61" s="6" t="s">
        <v>7</v>
      </c>
      <c r="E61" s="7">
        <f>IFERROR(__xludf.DUMMYFUNCTION("SPLIT(C61,""/"")"),532.0)</f>
        <v>532</v>
      </c>
      <c r="F61" s="7" t="str">
        <f>IFERROR(__xludf.DUMMYFUNCTION("""COMPUTED_VALUE"""),"XYZ084")</f>
        <v>XYZ084</v>
      </c>
      <c r="G61" s="7" t="str">
        <f>IFERROR(__xludf.DUMMYFUNCTION("""COMPUTED_VALUE"""),"May")</f>
        <v>May</v>
      </c>
      <c r="H61" s="7">
        <f t="shared" si="1"/>
        <v>532</v>
      </c>
      <c r="I61" s="10">
        <f>VLookup(B61,'Product Table'!$A$2:$C$11,3,FALSE)</f>
        <v>4700</v>
      </c>
      <c r="J61" s="11">
        <f>Vlookup(D61,'Customer Table'!$A$2:$C$7,3,FALSE)</f>
        <v>0.08</v>
      </c>
      <c r="K61" s="10">
        <f t="shared" si="2"/>
        <v>2500400</v>
      </c>
      <c r="L61" s="10">
        <f t="shared" si="3"/>
        <v>200032</v>
      </c>
      <c r="M61" s="10">
        <f t="shared" si="4"/>
        <v>2300368</v>
      </c>
      <c r="N61" s="10" t="str">
        <f>vlookup(B61,'Product Table'!$A$2:$B$11,2,FALSE)</f>
        <v>Dinning</v>
      </c>
    </row>
    <row r="62">
      <c r="A62" s="4" t="s">
        <v>127</v>
      </c>
      <c r="B62" s="5" t="s">
        <v>30</v>
      </c>
      <c r="C62" s="5" t="s">
        <v>128</v>
      </c>
      <c r="D62" s="6" t="s">
        <v>7</v>
      </c>
      <c r="E62" s="7">
        <f>IFERROR(__xludf.DUMMYFUNCTION("SPLIT(C62,""/"")"),547.0)</f>
        <v>547</v>
      </c>
      <c r="F62" s="7" t="str">
        <f>IFERROR(__xludf.DUMMYFUNCTION("""COMPUTED_VALUE"""),"XYZ079")</f>
        <v>XYZ079</v>
      </c>
      <c r="G62" s="7" t="str">
        <f>IFERROR(__xludf.DUMMYFUNCTION("""COMPUTED_VALUE"""),"August")</f>
        <v>August</v>
      </c>
      <c r="H62" s="7">
        <f t="shared" si="1"/>
        <v>547</v>
      </c>
      <c r="I62" s="10">
        <f>VLookup(B62,'Product Table'!$A$2:$C$11,3,FALSE)</f>
        <v>900</v>
      </c>
      <c r="J62" s="11">
        <f>Vlookup(D62,'Customer Table'!$A$2:$C$7,3,FALSE)</f>
        <v>0.08</v>
      </c>
      <c r="K62" s="10">
        <f t="shared" si="2"/>
        <v>492300</v>
      </c>
      <c r="L62" s="10">
        <f t="shared" si="3"/>
        <v>39384</v>
      </c>
      <c r="M62" s="10">
        <f t="shared" si="4"/>
        <v>452916</v>
      </c>
      <c r="N62" s="10" t="str">
        <f>vlookup(B62,'Product Table'!$A$2:$B$11,2,FALSE)</f>
        <v>Decor</v>
      </c>
    </row>
    <row r="63">
      <c r="A63" s="4" t="s">
        <v>129</v>
      </c>
      <c r="B63" s="5" t="s">
        <v>41</v>
      </c>
      <c r="C63" s="5" t="s">
        <v>130</v>
      </c>
      <c r="D63" s="6" t="s">
        <v>22</v>
      </c>
      <c r="E63" s="7">
        <f>IFERROR(__xludf.DUMMYFUNCTION("SPLIT(C63,""/"")"),674.0)</f>
        <v>674</v>
      </c>
      <c r="F63" s="7" t="str">
        <f>IFERROR(__xludf.DUMMYFUNCTION("""COMPUTED_VALUE"""),"XYZ083")</f>
        <v>XYZ083</v>
      </c>
      <c r="G63" s="7" t="str">
        <f>IFERROR(__xludf.DUMMYFUNCTION("""COMPUTED_VALUE"""),"November")</f>
        <v>November</v>
      </c>
      <c r="H63" s="7">
        <f t="shared" si="1"/>
        <v>674</v>
      </c>
      <c r="I63" s="10">
        <f>VLookup(B63,'Product Table'!$A$2:$C$11,3,FALSE)</f>
        <v>900</v>
      </c>
      <c r="J63" s="11">
        <f>Vlookup(D63,'Customer Table'!$A$2:$C$7,3,FALSE)</f>
        <v>0.1</v>
      </c>
      <c r="K63" s="10">
        <f t="shared" si="2"/>
        <v>606600</v>
      </c>
      <c r="L63" s="10">
        <f t="shared" si="3"/>
        <v>60660</v>
      </c>
      <c r="M63" s="10">
        <f t="shared" si="4"/>
        <v>545940</v>
      </c>
      <c r="N63" s="10" t="str">
        <f>vlookup(B63,'Product Table'!$A$2:$B$11,2,FALSE)</f>
        <v>Lighting</v>
      </c>
    </row>
    <row r="64">
      <c r="A64" s="4" t="s">
        <v>131</v>
      </c>
      <c r="B64" s="5" t="s">
        <v>30</v>
      </c>
      <c r="C64" s="5" t="s">
        <v>132</v>
      </c>
      <c r="D64" s="6" t="s">
        <v>15</v>
      </c>
      <c r="E64" s="7">
        <f>IFERROR(__xludf.DUMMYFUNCTION("SPLIT(C64,""/"")"),487.0)</f>
        <v>487</v>
      </c>
      <c r="F64" s="7" t="str">
        <f>IFERROR(__xludf.DUMMYFUNCTION("""COMPUTED_VALUE"""),"XYZ082")</f>
        <v>XYZ082</v>
      </c>
      <c r="G64" s="7" t="str">
        <f>IFERROR(__xludf.DUMMYFUNCTION("""COMPUTED_VALUE"""),"February")</f>
        <v>February</v>
      </c>
      <c r="H64" s="7">
        <f t="shared" si="1"/>
        <v>487</v>
      </c>
      <c r="I64" s="10">
        <f>VLookup(B64,'Product Table'!$A$2:$C$11,3,FALSE)</f>
        <v>900</v>
      </c>
      <c r="J64" s="11">
        <f>Vlookup(D64,'Customer Table'!$A$2:$C$7,3,FALSE)</f>
        <v>0.12</v>
      </c>
      <c r="K64" s="10">
        <f t="shared" si="2"/>
        <v>438300</v>
      </c>
      <c r="L64" s="10">
        <f t="shared" si="3"/>
        <v>52596</v>
      </c>
      <c r="M64" s="10">
        <f t="shared" si="4"/>
        <v>385704</v>
      </c>
      <c r="N64" s="10" t="str">
        <f>vlookup(B64,'Product Table'!$A$2:$B$11,2,FALSE)</f>
        <v>Decor</v>
      </c>
    </row>
    <row r="65">
      <c r="A65" s="4" t="s">
        <v>133</v>
      </c>
      <c r="B65" s="5" t="s">
        <v>9</v>
      </c>
      <c r="C65" s="5" t="s">
        <v>134</v>
      </c>
      <c r="D65" s="6" t="s">
        <v>11</v>
      </c>
      <c r="E65" s="7">
        <f>IFERROR(__xludf.DUMMYFUNCTION("SPLIT(C65,""/"")"),539.0)</f>
        <v>539</v>
      </c>
      <c r="F65" s="7" t="str">
        <f>IFERROR(__xludf.DUMMYFUNCTION("""COMPUTED_VALUE"""),"XYZ085")</f>
        <v>XYZ085</v>
      </c>
      <c r="G65" s="7" t="str">
        <f>IFERROR(__xludf.DUMMYFUNCTION("""COMPUTED_VALUE"""),"November")</f>
        <v>November</v>
      </c>
      <c r="H65" s="7">
        <f t="shared" si="1"/>
        <v>539</v>
      </c>
      <c r="I65" s="10">
        <f>VLookup(B65,'Product Table'!$A$2:$C$11,3,FALSE)</f>
        <v>7300</v>
      </c>
      <c r="J65" s="11">
        <f>Vlookup(D65,'Customer Table'!$A$2:$C$7,3,FALSE)</f>
        <v>0.06</v>
      </c>
      <c r="K65" s="10">
        <f t="shared" si="2"/>
        <v>3934700</v>
      </c>
      <c r="L65" s="10">
        <f t="shared" si="3"/>
        <v>236082</v>
      </c>
      <c r="M65" s="10">
        <f t="shared" si="4"/>
        <v>3698618</v>
      </c>
      <c r="N65" s="10" t="str">
        <f>vlookup(B65,'Product Table'!$A$2:$B$11,2,FALSE)</f>
        <v>Furniture</v>
      </c>
    </row>
    <row r="66">
      <c r="A66" s="4" t="s">
        <v>135</v>
      </c>
      <c r="B66" s="5" t="s">
        <v>5</v>
      </c>
      <c r="C66" s="5" t="s">
        <v>136</v>
      </c>
      <c r="D66" s="6" t="s">
        <v>28</v>
      </c>
      <c r="E66" s="7">
        <f>IFERROR(__xludf.DUMMYFUNCTION("SPLIT(C66,""/"")"),576.0)</f>
        <v>576</v>
      </c>
      <c r="F66" s="7" t="str">
        <f>IFERROR(__xludf.DUMMYFUNCTION("""COMPUTED_VALUE"""),"XYZ085")</f>
        <v>XYZ085</v>
      </c>
      <c r="G66" s="7" t="str">
        <f>IFERROR(__xludf.DUMMYFUNCTION("""COMPUTED_VALUE"""),"March")</f>
        <v>March</v>
      </c>
      <c r="H66" s="7">
        <f t="shared" si="1"/>
        <v>576</v>
      </c>
      <c r="I66" s="10">
        <f>VLookup(B66,'Product Table'!$A$2:$C$11,3,FALSE)</f>
        <v>4700</v>
      </c>
      <c r="J66" s="11">
        <f>Vlookup(D66,'Customer Table'!$A$2:$C$7,3,FALSE)</f>
        <v>0.15</v>
      </c>
      <c r="K66" s="10">
        <f t="shared" si="2"/>
        <v>2707200</v>
      </c>
      <c r="L66" s="10">
        <f t="shared" si="3"/>
        <v>406080</v>
      </c>
      <c r="M66" s="10">
        <f t="shared" si="4"/>
        <v>2301120</v>
      </c>
      <c r="N66" s="10" t="str">
        <f>vlookup(B66,'Product Table'!$A$2:$B$11,2,FALSE)</f>
        <v>Dinning</v>
      </c>
    </row>
    <row r="67">
      <c r="A67" s="4" t="s">
        <v>137</v>
      </c>
      <c r="B67" s="5" t="s">
        <v>63</v>
      </c>
      <c r="C67" s="5" t="s">
        <v>138</v>
      </c>
      <c r="D67" s="6" t="s">
        <v>11</v>
      </c>
      <c r="E67" s="7">
        <f>IFERROR(__xludf.DUMMYFUNCTION("SPLIT(C67,""/"")"),575.0)</f>
        <v>575</v>
      </c>
      <c r="F67" s="7" t="str">
        <f>IFERROR(__xludf.DUMMYFUNCTION("""COMPUTED_VALUE"""),"XYZ084")</f>
        <v>XYZ084</v>
      </c>
      <c r="G67" s="7" t="str">
        <f>IFERROR(__xludf.DUMMYFUNCTION("""COMPUTED_VALUE"""),"March")</f>
        <v>March</v>
      </c>
      <c r="H67" s="7">
        <f t="shared" si="1"/>
        <v>575</v>
      </c>
      <c r="I67" s="10">
        <f>VLookup(B67,'Product Table'!$A$2:$C$11,3,FALSE)</f>
        <v>6800</v>
      </c>
      <c r="J67" s="11">
        <f>Vlookup(D67,'Customer Table'!$A$2:$C$7,3,FALSE)</f>
        <v>0.06</v>
      </c>
      <c r="K67" s="10">
        <f t="shared" si="2"/>
        <v>3910000</v>
      </c>
      <c r="L67" s="10">
        <f t="shared" si="3"/>
        <v>234600</v>
      </c>
      <c r="M67" s="10">
        <f t="shared" si="4"/>
        <v>3675400</v>
      </c>
      <c r="N67" s="10" t="str">
        <f>vlookup(B67,'Product Table'!$A$2:$B$11,2,FALSE)</f>
        <v>Bedding</v>
      </c>
    </row>
    <row r="68">
      <c r="A68" s="4" t="s">
        <v>139</v>
      </c>
      <c r="B68" s="5" t="s">
        <v>63</v>
      </c>
      <c r="C68" s="5" t="s">
        <v>140</v>
      </c>
      <c r="D68" s="6" t="s">
        <v>7</v>
      </c>
      <c r="E68" s="7">
        <f>IFERROR(__xludf.DUMMYFUNCTION("SPLIT(C68,""/"")"),622.0)</f>
        <v>622</v>
      </c>
      <c r="F68" s="7" t="str">
        <f>IFERROR(__xludf.DUMMYFUNCTION("""COMPUTED_VALUE"""),"XYZ082")</f>
        <v>XYZ082</v>
      </c>
      <c r="G68" s="7" t="str">
        <f>IFERROR(__xludf.DUMMYFUNCTION("""COMPUTED_VALUE"""),"April")</f>
        <v>April</v>
      </c>
      <c r="H68" s="7">
        <f t="shared" si="1"/>
        <v>622</v>
      </c>
      <c r="I68" s="10">
        <f>VLookup(B68,'Product Table'!$A$2:$C$11,3,FALSE)</f>
        <v>6800</v>
      </c>
      <c r="J68" s="11">
        <f>Vlookup(D68,'Customer Table'!$A$2:$C$7,3,FALSE)</f>
        <v>0.08</v>
      </c>
      <c r="K68" s="10">
        <f t="shared" si="2"/>
        <v>4229600</v>
      </c>
      <c r="L68" s="10">
        <f t="shared" si="3"/>
        <v>338368</v>
      </c>
      <c r="M68" s="10">
        <f t="shared" si="4"/>
        <v>3891232</v>
      </c>
      <c r="N68" s="10" t="str">
        <f>vlookup(B68,'Product Table'!$A$2:$B$11,2,FALSE)</f>
        <v>Bedding</v>
      </c>
    </row>
    <row r="69">
      <c r="A69" s="4" t="s">
        <v>141</v>
      </c>
      <c r="B69" s="5" t="s">
        <v>63</v>
      </c>
      <c r="C69" s="5" t="s">
        <v>142</v>
      </c>
      <c r="D69" s="6" t="s">
        <v>28</v>
      </c>
      <c r="E69" s="7">
        <f>IFERROR(__xludf.DUMMYFUNCTION("SPLIT(C69,""/"")"),505.0)</f>
        <v>505</v>
      </c>
      <c r="F69" s="7" t="str">
        <f>IFERROR(__xludf.DUMMYFUNCTION("""COMPUTED_VALUE"""),"XYZ084")</f>
        <v>XYZ084</v>
      </c>
      <c r="G69" s="7" t="str">
        <f>IFERROR(__xludf.DUMMYFUNCTION("""COMPUTED_VALUE"""),"April")</f>
        <v>April</v>
      </c>
      <c r="H69" s="7">
        <f t="shared" si="1"/>
        <v>505</v>
      </c>
      <c r="I69" s="10">
        <f>VLookup(B69,'Product Table'!$A$2:$C$11,3,FALSE)</f>
        <v>6800</v>
      </c>
      <c r="J69" s="11">
        <f>Vlookup(D69,'Customer Table'!$A$2:$C$7,3,FALSE)</f>
        <v>0.15</v>
      </c>
      <c r="K69" s="10">
        <f t="shared" si="2"/>
        <v>3434000</v>
      </c>
      <c r="L69" s="10">
        <f t="shared" si="3"/>
        <v>515100</v>
      </c>
      <c r="M69" s="10">
        <f t="shared" si="4"/>
        <v>2918900</v>
      </c>
      <c r="N69" s="10" t="str">
        <f>vlookup(B69,'Product Table'!$A$2:$B$11,2,FALSE)</f>
        <v>Bedding</v>
      </c>
    </row>
    <row r="70">
      <c r="A70" s="4" t="s">
        <v>143</v>
      </c>
      <c r="B70" s="5" t="s">
        <v>76</v>
      </c>
      <c r="C70" s="5" t="s">
        <v>144</v>
      </c>
      <c r="D70" s="6" t="s">
        <v>22</v>
      </c>
      <c r="E70" s="7">
        <f>IFERROR(__xludf.DUMMYFUNCTION("SPLIT(C70,""/"")"),414.0)</f>
        <v>414</v>
      </c>
      <c r="F70" s="7" t="str">
        <f>IFERROR(__xludf.DUMMYFUNCTION("""COMPUTED_VALUE"""),"XYZ083")</f>
        <v>XYZ083</v>
      </c>
      <c r="G70" s="7" t="str">
        <f>IFERROR(__xludf.DUMMYFUNCTION("""COMPUTED_VALUE"""),"July")</f>
        <v>July</v>
      </c>
      <c r="H70" s="7">
        <f t="shared" si="1"/>
        <v>414</v>
      </c>
      <c r="I70" s="10">
        <f>VLookup(B70,'Product Table'!$A$2:$C$11,3,FALSE)</f>
        <v>8800</v>
      </c>
      <c r="J70" s="11">
        <f>Vlookup(D70,'Customer Table'!$A$2:$C$7,3,FALSE)</f>
        <v>0.1</v>
      </c>
      <c r="K70" s="10">
        <f t="shared" si="2"/>
        <v>3643200</v>
      </c>
      <c r="L70" s="10">
        <f t="shared" si="3"/>
        <v>364320</v>
      </c>
      <c r="M70" s="10">
        <f t="shared" si="4"/>
        <v>3278880</v>
      </c>
      <c r="N70" s="10" t="str">
        <f>vlookup(B70,'Product Table'!$A$2:$B$11,2,FALSE)</f>
        <v>Bedding</v>
      </c>
    </row>
    <row r="71">
      <c r="A71" s="4" t="s">
        <v>145</v>
      </c>
      <c r="B71" s="5" t="s">
        <v>76</v>
      </c>
      <c r="C71" s="5" t="s">
        <v>146</v>
      </c>
      <c r="D71" s="6" t="s">
        <v>56</v>
      </c>
      <c r="E71" s="7">
        <f>IFERROR(__xludf.DUMMYFUNCTION("SPLIT(C71,""/"")"),505.0)</f>
        <v>505</v>
      </c>
      <c r="F71" s="7" t="str">
        <f>IFERROR(__xludf.DUMMYFUNCTION("""COMPUTED_VALUE"""),"XYZ083")</f>
        <v>XYZ083</v>
      </c>
      <c r="G71" s="7" t="str">
        <f>IFERROR(__xludf.DUMMYFUNCTION("""COMPUTED_VALUE"""),"July")</f>
        <v>July</v>
      </c>
      <c r="H71" s="7">
        <f t="shared" si="1"/>
        <v>505</v>
      </c>
      <c r="I71" s="10">
        <f>VLookup(B71,'Product Table'!$A$2:$C$11,3,FALSE)</f>
        <v>8800</v>
      </c>
      <c r="J71" s="11">
        <f>Vlookup(D71,'Customer Table'!$A$2:$C$7,3,FALSE)</f>
        <v>0.05</v>
      </c>
      <c r="K71" s="10">
        <f t="shared" si="2"/>
        <v>4444000</v>
      </c>
      <c r="L71" s="10">
        <f t="shared" si="3"/>
        <v>222200</v>
      </c>
      <c r="M71" s="10">
        <f t="shared" si="4"/>
        <v>4221800</v>
      </c>
      <c r="N71" s="10" t="str">
        <f>vlookup(B71,'Product Table'!$A$2:$B$11,2,FALSE)</f>
        <v>Bedding</v>
      </c>
    </row>
    <row r="72">
      <c r="A72" s="4" t="s">
        <v>147</v>
      </c>
      <c r="B72" s="5" t="s">
        <v>30</v>
      </c>
      <c r="C72" s="5" t="s">
        <v>148</v>
      </c>
      <c r="D72" s="6" t="s">
        <v>22</v>
      </c>
      <c r="E72" s="7">
        <f>IFERROR(__xludf.DUMMYFUNCTION("SPLIT(C72,""/"")"),636.0)</f>
        <v>636</v>
      </c>
      <c r="F72" s="7" t="str">
        <f>IFERROR(__xludf.DUMMYFUNCTION("""COMPUTED_VALUE"""),"XYZ081")</f>
        <v>XYZ081</v>
      </c>
      <c r="G72" s="7" t="str">
        <f>IFERROR(__xludf.DUMMYFUNCTION("""COMPUTED_VALUE"""),"August")</f>
        <v>August</v>
      </c>
      <c r="H72" s="7">
        <f t="shared" si="1"/>
        <v>636</v>
      </c>
      <c r="I72" s="10">
        <f>VLookup(B72,'Product Table'!$A$2:$C$11,3,FALSE)</f>
        <v>900</v>
      </c>
      <c r="J72" s="11">
        <f>Vlookup(D72,'Customer Table'!$A$2:$C$7,3,FALSE)</f>
        <v>0.1</v>
      </c>
      <c r="K72" s="10">
        <f t="shared" si="2"/>
        <v>572400</v>
      </c>
      <c r="L72" s="10">
        <f t="shared" si="3"/>
        <v>57240</v>
      </c>
      <c r="M72" s="10">
        <f t="shared" si="4"/>
        <v>515160</v>
      </c>
      <c r="N72" s="10" t="str">
        <f>vlookup(B72,'Product Table'!$A$2:$B$11,2,FALSE)</f>
        <v>Decor</v>
      </c>
    </row>
    <row r="73">
      <c r="A73" s="4" t="s">
        <v>149</v>
      </c>
      <c r="B73" s="5" t="s">
        <v>63</v>
      </c>
      <c r="C73" s="5" t="s">
        <v>150</v>
      </c>
      <c r="D73" s="6" t="s">
        <v>7</v>
      </c>
      <c r="E73" s="7">
        <f>IFERROR(__xludf.DUMMYFUNCTION("SPLIT(C73,""/"")"),655.0)</f>
        <v>655</v>
      </c>
      <c r="F73" s="7" t="str">
        <f>IFERROR(__xludf.DUMMYFUNCTION("""COMPUTED_VALUE"""),"XYZ085")</f>
        <v>XYZ085</v>
      </c>
      <c r="G73" s="7" t="str">
        <f>IFERROR(__xludf.DUMMYFUNCTION("""COMPUTED_VALUE"""),"May")</f>
        <v>May</v>
      </c>
      <c r="H73" s="7">
        <f t="shared" si="1"/>
        <v>655</v>
      </c>
      <c r="I73" s="10">
        <f>VLookup(B73,'Product Table'!$A$2:$C$11,3,FALSE)</f>
        <v>6800</v>
      </c>
      <c r="J73" s="11">
        <f>Vlookup(D73,'Customer Table'!$A$2:$C$7,3,FALSE)</f>
        <v>0.08</v>
      </c>
      <c r="K73" s="10">
        <f t="shared" si="2"/>
        <v>4454000</v>
      </c>
      <c r="L73" s="10">
        <f t="shared" si="3"/>
        <v>356320</v>
      </c>
      <c r="M73" s="10">
        <f t="shared" si="4"/>
        <v>4097680</v>
      </c>
      <c r="N73" s="10" t="str">
        <f>vlookup(B73,'Product Table'!$A$2:$B$11,2,FALSE)</f>
        <v>Bedding</v>
      </c>
    </row>
    <row r="74">
      <c r="A74" s="4" t="s">
        <v>151</v>
      </c>
      <c r="B74" s="5" t="s">
        <v>41</v>
      </c>
      <c r="C74" s="5" t="s">
        <v>152</v>
      </c>
      <c r="D74" s="6" t="s">
        <v>56</v>
      </c>
      <c r="E74" s="7">
        <f>IFERROR(__xludf.DUMMYFUNCTION("SPLIT(C74,""/"")"),452.0)</f>
        <v>452</v>
      </c>
      <c r="F74" s="7" t="str">
        <f>IFERROR(__xludf.DUMMYFUNCTION("""COMPUTED_VALUE"""),"XYZ084")</f>
        <v>XYZ084</v>
      </c>
      <c r="G74" s="7" t="str">
        <f>IFERROR(__xludf.DUMMYFUNCTION("""COMPUTED_VALUE"""),"January")</f>
        <v>January</v>
      </c>
      <c r="H74" s="7">
        <f t="shared" si="1"/>
        <v>452</v>
      </c>
      <c r="I74" s="10">
        <f>VLookup(B74,'Product Table'!$A$2:$C$11,3,FALSE)</f>
        <v>900</v>
      </c>
      <c r="J74" s="11">
        <f>Vlookup(D74,'Customer Table'!$A$2:$C$7,3,FALSE)</f>
        <v>0.05</v>
      </c>
      <c r="K74" s="10">
        <f t="shared" si="2"/>
        <v>406800</v>
      </c>
      <c r="L74" s="10">
        <f t="shared" si="3"/>
        <v>20340</v>
      </c>
      <c r="M74" s="10">
        <f t="shared" si="4"/>
        <v>386460</v>
      </c>
      <c r="N74" s="10" t="str">
        <f>vlookup(B74,'Product Table'!$A$2:$B$11,2,FALSE)</f>
        <v>Lighting</v>
      </c>
    </row>
    <row r="75">
      <c r="A75" s="4" t="s">
        <v>153</v>
      </c>
      <c r="B75" s="5" t="s">
        <v>30</v>
      </c>
      <c r="C75" s="5" t="s">
        <v>154</v>
      </c>
      <c r="D75" s="6" t="s">
        <v>56</v>
      </c>
      <c r="E75" s="7">
        <f>IFERROR(__xludf.DUMMYFUNCTION("SPLIT(C75,""/"")"),668.0)</f>
        <v>668</v>
      </c>
      <c r="F75" s="7" t="str">
        <f>IFERROR(__xludf.DUMMYFUNCTION("""COMPUTED_VALUE"""),"XYZ080")</f>
        <v>XYZ080</v>
      </c>
      <c r="G75" s="7" t="str">
        <f>IFERROR(__xludf.DUMMYFUNCTION("""COMPUTED_VALUE"""),"July")</f>
        <v>July</v>
      </c>
      <c r="H75" s="7">
        <f t="shared" si="1"/>
        <v>668</v>
      </c>
      <c r="I75" s="10">
        <f>VLookup(B75,'Product Table'!$A$2:$C$11,3,FALSE)</f>
        <v>900</v>
      </c>
      <c r="J75" s="11">
        <f>Vlookup(D75,'Customer Table'!$A$2:$C$7,3,FALSE)</f>
        <v>0.05</v>
      </c>
      <c r="K75" s="10">
        <f t="shared" si="2"/>
        <v>601200</v>
      </c>
      <c r="L75" s="10">
        <f t="shared" si="3"/>
        <v>30060</v>
      </c>
      <c r="M75" s="10">
        <f t="shared" si="4"/>
        <v>571140</v>
      </c>
      <c r="N75" s="10" t="str">
        <f>vlookup(B75,'Product Table'!$A$2:$B$11,2,FALSE)</f>
        <v>Decor</v>
      </c>
    </row>
    <row r="76">
      <c r="A76" s="4" t="s">
        <v>155</v>
      </c>
      <c r="B76" s="5" t="s">
        <v>5</v>
      </c>
      <c r="C76" s="5" t="s">
        <v>156</v>
      </c>
      <c r="D76" s="6" t="s">
        <v>56</v>
      </c>
      <c r="E76" s="7">
        <f>IFERROR(__xludf.DUMMYFUNCTION("SPLIT(C76,""/"")"),456.0)</f>
        <v>456</v>
      </c>
      <c r="F76" s="7" t="str">
        <f>IFERROR(__xludf.DUMMYFUNCTION("""COMPUTED_VALUE"""),"XYZ082")</f>
        <v>XYZ082</v>
      </c>
      <c r="G76" s="7" t="str">
        <f>IFERROR(__xludf.DUMMYFUNCTION("""COMPUTED_VALUE"""),"July")</f>
        <v>July</v>
      </c>
      <c r="H76" s="7">
        <f t="shared" si="1"/>
        <v>456</v>
      </c>
      <c r="I76" s="10">
        <f>VLookup(B76,'Product Table'!$A$2:$C$11,3,FALSE)</f>
        <v>4700</v>
      </c>
      <c r="J76" s="11">
        <f>Vlookup(D76,'Customer Table'!$A$2:$C$7,3,FALSE)</f>
        <v>0.05</v>
      </c>
      <c r="K76" s="10">
        <f t="shared" si="2"/>
        <v>2143200</v>
      </c>
      <c r="L76" s="10">
        <f t="shared" si="3"/>
        <v>107160</v>
      </c>
      <c r="M76" s="10">
        <f t="shared" si="4"/>
        <v>2036040</v>
      </c>
      <c r="N76" s="10" t="str">
        <f>vlookup(B76,'Product Table'!$A$2:$B$11,2,FALSE)</f>
        <v>Dinning</v>
      </c>
    </row>
    <row r="77">
      <c r="A77" s="4" t="s">
        <v>157</v>
      </c>
      <c r="B77" s="5" t="s">
        <v>54</v>
      </c>
      <c r="C77" s="5" t="s">
        <v>158</v>
      </c>
      <c r="D77" s="6" t="s">
        <v>28</v>
      </c>
      <c r="E77" s="7">
        <f>IFERROR(__xludf.DUMMYFUNCTION("SPLIT(C77,""/"")"),538.0)</f>
        <v>538</v>
      </c>
      <c r="F77" s="7" t="str">
        <f>IFERROR(__xludf.DUMMYFUNCTION("""COMPUTED_VALUE"""),"XYZ086")</f>
        <v>XYZ086</v>
      </c>
      <c r="G77" s="7" t="str">
        <f>IFERROR(__xludf.DUMMYFUNCTION("""COMPUTED_VALUE"""),"October")</f>
        <v>October</v>
      </c>
      <c r="H77" s="7">
        <f t="shared" si="1"/>
        <v>538</v>
      </c>
      <c r="I77" s="10">
        <f>VLookup(B77,'Product Table'!$A$2:$C$11,3,FALSE)</f>
        <v>1200</v>
      </c>
      <c r="J77" s="11">
        <f>Vlookup(D77,'Customer Table'!$A$2:$C$7,3,FALSE)</f>
        <v>0.15</v>
      </c>
      <c r="K77" s="10">
        <f t="shared" si="2"/>
        <v>645600</v>
      </c>
      <c r="L77" s="10">
        <f t="shared" si="3"/>
        <v>96840</v>
      </c>
      <c r="M77" s="10">
        <f t="shared" si="4"/>
        <v>548760</v>
      </c>
      <c r="N77" s="10" t="str">
        <f>vlookup(B77,'Product Table'!$A$2:$B$11,2,FALSE)</f>
        <v>Lighting</v>
      </c>
    </row>
    <row r="78">
      <c r="A78" s="4" t="s">
        <v>159</v>
      </c>
      <c r="B78" s="5" t="s">
        <v>30</v>
      </c>
      <c r="C78" s="5" t="s">
        <v>160</v>
      </c>
      <c r="D78" s="6" t="s">
        <v>11</v>
      </c>
      <c r="E78" s="7">
        <f>IFERROR(__xludf.DUMMYFUNCTION("SPLIT(C78,""/"")"),672.0)</f>
        <v>672</v>
      </c>
      <c r="F78" s="7" t="str">
        <f>IFERROR(__xludf.DUMMYFUNCTION("""COMPUTED_VALUE"""),"XYZ082")</f>
        <v>XYZ082</v>
      </c>
      <c r="G78" s="7" t="str">
        <f>IFERROR(__xludf.DUMMYFUNCTION("""COMPUTED_VALUE"""),"March")</f>
        <v>March</v>
      </c>
      <c r="H78" s="7">
        <f t="shared" si="1"/>
        <v>672</v>
      </c>
      <c r="I78" s="10">
        <f>VLookup(B78,'Product Table'!$A$2:$C$11,3,FALSE)</f>
        <v>900</v>
      </c>
      <c r="J78" s="11">
        <f>Vlookup(D78,'Customer Table'!$A$2:$C$7,3,FALSE)</f>
        <v>0.06</v>
      </c>
      <c r="K78" s="10">
        <f t="shared" si="2"/>
        <v>604800</v>
      </c>
      <c r="L78" s="10">
        <f t="shared" si="3"/>
        <v>36288</v>
      </c>
      <c r="M78" s="10">
        <f t="shared" si="4"/>
        <v>568512</v>
      </c>
      <c r="N78" s="10" t="str">
        <f>vlookup(B78,'Product Table'!$A$2:$B$11,2,FALSE)</f>
        <v>Decor</v>
      </c>
    </row>
    <row r="79">
      <c r="A79" s="4" t="s">
        <v>161</v>
      </c>
      <c r="B79" s="5" t="s">
        <v>54</v>
      </c>
      <c r="C79" s="5" t="s">
        <v>162</v>
      </c>
      <c r="D79" s="6" t="s">
        <v>56</v>
      </c>
      <c r="E79" s="7">
        <f>IFERROR(__xludf.DUMMYFUNCTION("SPLIT(C79,""/"")"),622.0)</f>
        <v>622</v>
      </c>
      <c r="F79" s="7" t="str">
        <f>IFERROR(__xludf.DUMMYFUNCTION("""COMPUTED_VALUE"""),"XYZ085")</f>
        <v>XYZ085</v>
      </c>
      <c r="G79" s="7" t="str">
        <f>IFERROR(__xludf.DUMMYFUNCTION("""COMPUTED_VALUE"""),"July")</f>
        <v>July</v>
      </c>
      <c r="H79" s="7">
        <f t="shared" si="1"/>
        <v>622</v>
      </c>
      <c r="I79" s="10">
        <f>VLookup(B79,'Product Table'!$A$2:$C$11,3,FALSE)</f>
        <v>1200</v>
      </c>
      <c r="J79" s="11">
        <f>Vlookup(D79,'Customer Table'!$A$2:$C$7,3,FALSE)</f>
        <v>0.05</v>
      </c>
      <c r="K79" s="10">
        <f t="shared" si="2"/>
        <v>746400</v>
      </c>
      <c r="L79" s="10">
        <f t="shared" si="3"/>
        <v>37320</v>
      </c>
      <c r="M79" s="10">
        <f t="shared" si="4"/>
        <v>709080</v>
      </c>
      <c r="N79" s="10" t="str">
        <f>vlookup(B79,'Product Table'!$A$2:$B$11,2,FALSE)</f>
        <v>Lighting</v>
      </c>
    </row>
    <row r="80">
      <c r="A80" s="4" t="s">
        <v>163</v>
      </c>
      <c r="B80" s="5" t="s">
        <v>58</v>
      </c>
      <c r="C80" s="5" t="s">
        <v>164</v>
      </c>
      <c r="D80" s="6" t="s">
        <v>7</v>
      </c>
      <c r="E80" s="7">
        <f>IFERROR(__xludf.DUMMYFUNCTION("SPLIT(C80,""/"")"),685.0)</f>
        <v>685</v>
      </c>
      <c r="F80" s="7" t="str">
        <f>IFERROR(__xludf.DUMMYFUNCTION("""COMPUTED_VALUE"""),"XYZ080")</f>
        <v>XYZ080</v>
      </c>
      <c r="G80" s="7" t="str">
        <f>IFERROR(__xludf.DUMMYFUNCTION("""COMPUTED_VALUE"""),"September")</f>
        <v>September</v>
      </c>
      <c r="H80" s="7">
        <f t="shared" si="1"/>
        <v>685</v>
      </c>
      <c r="I80" s="10">
        <f>VLookup(B80,'Product Table'!$A$2:$C$11,3,FALSE)</f>
        <v>3000</v>
      </c>
      <c r="J80" s="11">
        <f>Vlookup(D80,'Customer Table'!$A$2:$C$7,3,FALSE)</f>
        <v>0.08</v>
      </c>
      <c r="K80" s="10">
        <f t="shared" si="2"/>
        <v>2055000</v>
      </c>
      <c r="L80" s="10">
        <f t="shared" si="3"/>
        <v>164400</v>
      </c>
      <c r="M80" s="10">
        <f t="shared" si="4"/>
        <v>1890600</v>
      </c>
      <c r="N80" s="10" t="str">
        <f>vlookup(B80,'Product Table'!$A$2:$B$11,2,FALSE)</f>
        <v>Furniture</v>
      </c>
    </row>
    <row r="81">
      <c r="A81" s="4" t="s">
        <v>165</v>
      </c>
      <c r="B81" s="5" t="s">
        <v>76</v>
      </c>
      <c r="C81" s="5" t="s">
        <v>166</v>
      </c>
      <c r="D81" s="6" t="s">
        <v>11</v>
      </c>
      <c r="E81" s="7">
        <f>IFERROR(__xludf.DUMMYFUNCTION("SPLIT(C81,""/"")"),335.0)</f>
        <v>335</v>
      </c>
      <c r="F81" s="7" t="str">
        <f>IFERROR(__xludf.DUMMYFUNCTION("""COMPUTED_VALUE"""),"XYZ082")</f>
        <v>XYZ082</v>
      </c>
      <c r="G81" s="7" t="str">
        <f>IFERROR(__xludf.DUMMYFUNCTION("""COMPUTED_VALUE"""),"March")</f>
        <v>March</v>
      </c>
      <c r="H81" s="7">
        <f t="shared" si="1"/>
        <v>335</v>
      </c>
      <c r="I81" s="10">
        <f>VLookup(B81,'Product Table'!$A$2:$C$11,3,FALSE)</f>
        <v>8800</v>
      </c>
      <c r="J81" s="11">
        <f>Vlookup(D81,'Customer Table'!$A$2:$C$7,3,FALSE)</f>
        <v>0.06</v>
      </c>
      <c r="K81" s="10">
        <f t="shared" si="2"/>
        <v>2948000</v>
      </c>
      <c r="L81" s="10">
        <f t="shared" si="3"/>
        <v>176880</v>
      </c>
      <c r="M81" s="10">
        <f t="shared" si="4"/>
        <v>2771120</v>
      </c>
      <c r="N81" s="10" t="str">
        <f>vlookup(B81,'Product Table'!$A$2:$B$11,2,FALSE)</f>
        <v>Bedding</v>
      </c>
    </row>
    <row r="82">
      <c r="A82" s="4" t="s">
        <v>167</v>
      </c>
      <c r="B82" s="5" t="s">
        <v>13</v>
      </c>
      <c r="C82" s="5" t="s">
        <v>168</v>
      </c>
      <c r="D82" s="6" t="s">
        <v>15</v>
      </c>
      <c r="E82" s="7">
        <f>IFERROR(__xludf.DUMMYFUNCTION("SPLIT(C82,""/"")"),429.0)</f>
        <v>429</v>
      </c>
      <c r="F82" s="7" t="str">
        <f>IFERROR(__xludf.DUMMYFUNCTION("""COMPUTED_VALUE"""),"XYZ080")</f>
        <v>XYZ080</v>
      </c>
      <c r="G82" s="7" t="str">
        <f>IFERROR(__xludf.DUMMYFUNCTION("""COMPUTED_VALUE"""),"February")</f>
        <v>February</v>
      </c>
      <c r="H82" s="7">
        <f t="shared" si="1"/>
        <v>429</v>
      </c>
      <c r="I82" s="10">
        <f>VLookup(B82,'Product Table'!$A$2:$C$11,3,FALSE)</f>
        <v>1100</v>
      </c>
      <c r="J82" s="11">
        <f>Vlookup(D82,'Customer Table'!$A$2:$C$7,3,FALSE)</f>
        <v>0.12</v>
      </c>
      <c r="K82" s="10">
        <f t="shared" si="2"/>
        <v>471900</v>
      </c>
      <c r="L82" s="10">
        <f t="shared" si="3"/>
        <v>56628</v>
      </c>
      <c r="M82" s="10">
        <f t="shared" si="4"/>
        <v>415272</v>
      </c>
      <c r="N82" s="10" t="str">
        <f>vlookup(B82,'Product Table'!$A$2:$B$11,2,FALSE)</f>
        <v>Decor</v>
      </c>
    </row>
    <row r="83">
      <c r="A83" s="4" t="s">
        <v>169</v>
      </c>
      <c r="B83" s="5" t="s">
        <v>30</v>
      </c>
      <c r="C83" s="5" t="s">
        <v>170</v>
      </c>
      <c r="D83" s="6" t="s">
        <v>56</v>
      </c>
      <c r="E83" s="7">
        <f>IFERROR(__xludf.DUMMYFUNCTION("SPLIT(C83,""/"")"),505.0)</f>
        <v>505</v>
      </c>
      <c r="F83" s="7" t="str">
        <f>IFERROR(__xludf.DUMMYFUNCTION("""COMPUTED_VALUE"""),"XYZ083")</f>
        <v>XYZ083</v>
      </c>
      <c r="G83" s="7" t="str">
        <f>IFERROR(__xludf.DUMMYFUNCTION("""COMPUTED_VALUE"""),"November")</f>
        <v>November</v>
      </c>
      <c r="H83" s="7">
        <f t="shared" si="1"/>
        <v>505</v>
      </c>
      <c r="I83" s="10">
        <f>VLookup(B83,'Product Table'!$A$2:$C$11,3,FALSE)</f>
        <v>900</v>
      </c>
      <c r="J83" s="11">
        <f>Vlookup(D83,'Customer Table'!$A$2:$C$7,3,FALSE)</f>
        <v>0.05</v>
      </c>
      <c r="K83" s="10">
        <f t="shared" si="2"/>
        <v>454500</v>
      </c>
      <c r="L83" s="10">
        <f t="shared" si="3"/>
        <v>22725</v>
      </c>
      <c r="M83" s="10">
        <f t="shared" si="4"/>
        <v>431775</v>
      </c>
      <c r="N83" s="10" t="str">
        <f>vlookup(B83,'Product Table'!$A$2:$B$11,2,FALSE)</f>
        <v>Decor</v>
      </c>
    </row>
    <row r="84">
      <c r="A84" s="4" t="s">
        <v>171</v>
      </c>
      <c r="B84" s="5" t="s">
        <v>5</v>
      </c>
      <c r="C84" s="5" t="s">
        <v>172</v>
      </c>
      <c r="D84" s="6" t="s">
        <v>22</v>
      </c>
      <c r="E84" s="7">
        <f>IFERROR(__xludf.DUMMYFUNCTION("SPLIT(C84,""/"")"),322.0)</f>
        <v>322</v>
      </c>
      <c r="F84" s="7" t="str">
        <f>IFERROR(__xludf.DUMMYFUNCTION("""COMPUTED_VALUE"""),"XYZ085")</f>
        <v>XYZ085</v>
      </c>
      <c r="G84" s="7" t="str">
        <f>IFERROR(__xludf.DUMMYFUNCTION("""COMPUTED_VALUE"""),"October")</f>
        <v>October</v>
      </c>
      <c r="H84" s="7">
        <f t="shared" si="1"/>
        <v>322</v>
      </c>
      <c r="I84" s="10">
        <f>VLookup(B84,'Product Table'!$A$2:$C$11,3,FALSE)</f>
        <v>4700</v>
      </c>
      <c r="J84" s="11">
        <f>Vlookup(D84,'Customer Table'!$A$2:$C$7,3,FALSE)</f>
        <v>0.1</v>
      </c>
      <c r="K84" s="10">
        <f t="shared" si="2"/>
        <v>1513400</v>
      </c>
      <c r="L84" s="10">
        <f t="shared" si="3"/>
        <v>151340</v>
      </c>
      <c r="M84" s="10">
        <f t="shared" si="4"/>
        <v>1362060</v>
      </c>
      <c r="N84" s="10" t="str">
        <f>vlookup(B84,'Product Table'!$A$2:$B$11,2,FALSE)</f>
        <v>Dinning</v>
      </c>
    </row>
    <row r="85">
      <c r="A85" s="4" t="s">
        <v>173</v>
      </c>
      <c r="B85" s="5" t="s">
        <v>5</v>
      </c>
      <c r="C85" s="5" t="s">
        <v>174</v>
      </c>
      <c r="D85" s="6" t="s">
        <v>56</v>
      </c>
      <c r="E85" s="7">
        <f>IFERROR(__xludf.DUMMYFUNCTION("SPLIT(C85,""/"")"),359.0)</f>
        <v>359</v>
      </c>
      <c r="F85" s="7" t="str">
        <f>IFERROR(__xludf.DUMMYFUNCTION("""COMPUTED_VALUE"""),"XYZ079")</f>
        <v>XYZ079</v>
      </c>
      <c r="G85" s="7" t="str">
        <f>IFERROR(__xludf.DUMMYFUNCTION("""COMPUTED_VALUE"""),"November")</f>
        <v>November</v>
      </c>
      <c r="H85" s="7">
        <f t="shared" si="1"/>
        <v>359</v>
      </c>
      <c r="I85" s="10">
        <f>VLookup(B85,'Product Table'!$A$2:$C$11,3,FALSE)</f>
        <v>4700</v>
      </c>
      <c r="J85" s="11">
        <f>Vlookup(D85,'Customer Table'!$A$2:$C$7,3,FALSE)</f>
        <v>0.05</v>
      </c>
      <c r="K85" s="10">
        <f t="shared" si="2"/>
        <v>1687300</v>
      </c>
      <c r="L85" s="10">
        <f t="shared" si="3"/>
        <v>84365</v>
      </c>
      <c r="M85" s="10">
        <f t="shared" si="4"/>
        <v>1602935</v>
      </c>
      <c r="N85" s="10" t="str">
        <f>vlookup(B85,'Product Table'!$A$2:$B$11,2,FALSE)</f>
        <v>Dinning</v>
      </c>
    </row>
    <row r="86">
      <c r="A86" s="4" t="s">
        <v>175</v>
      </c>
      <c r="B86" s="5" t="s">
        <v>9</v>
      </c>
      <c r="C86" s="5" t="s">
        <v>176</v>
      </c>
      <c r="D86" s="6" t="s">
        <v>11</v>
      </c>
      <c r="E86" s="7">
        <f>IFERROR(__xludf.DUMMYFUNCTION("SPLIT(C86,""/"")"),488.0)</f>
        <v>488</v>
      </c>
      <c r="F86" s="7" t="str">
        <f>IFERROR(__xludf.DUMMYFUNCTION("""COMPUTED_VALUE"""),"XYZ086")</f>
        <v>XYZ086</v>
      </c>
      <c r="G86" s="7" t="str">
        <f>IFERROR(__xludf.DUMMYFUNCTION("""COMPUTED_VALUE"""),"June")</f>
        <v>June</v>
      </c>
      <c r="H86" s="7">
        <f t="shared" si="1"/>
        <v>488</v>
      </c>
      <c r="I86" s="10">
        <f>VLookup(B86,'Product Table'!$A$2:$C$11,3,FALSE)</f>
        <v>7300</v>
      </c>
      <c r="J86" s="11">
        <f>Vlookup(D86,'Customer Table'!$A$2:$C$7,3,FALSE)</f>
        <v>0.06</v>
      </c>
      <c r="K86" s="10">
        <f t="shared" si="2"/>
        <v>3562400</v>
      </c>
      <c r="L86" s="10">
        <f t="shared" si="3"/>
        <v>213744</v>
      </c>
      <c r="M86" s="10">
        <f t="shared" si="4"/>
        <v>3348656</v>
      </c>
      <c r="N86" s="10" t="str">
        <f>vlookup(B86,'Product Table'!$A$2:$B$11,2,FALSE)</f>
        <v>Furniture</v>
      </c>
    </row>
    <row r="87">
      <c r="A87" s="4" t="s">
        <v>177</v>
      </c>
      <c r="B87" s="5" t="s">
        <v>30</v>
      </c>
      <c r="C87" s="5" t="s">
        <v>178</v>
      </c>
      <c r="D87" s="6" t="s">
        <v>22</v>
      </c>
      <c r="E87" s="7">
        <f>IFERROR(__xludf.DUMMYFUNCTION("SPLIT(C87,""/"")"),334.0)</f>
        <v>334</v>
      </c>
      <c r="F87" s="7" t="str">
        <f>IFERROR(__xludf.DUMMYFUNCTION("""COMPUTED_VALUE"""),"XYZ078")</f>
        <v>XYZ078</v>
      </c>
      <c r="G87" s="7" t="str">
        <f>IFERROR(__xludf.DUMMYFUNCTION("""COMPUTED_VALUE"""),"February")</f>
        <v>February</v>
      </c>
      <c r="H87" s="7">
        <f t="shared" si="1"/>
        <v>334</v>
      </c>
      <c r="I87" s="10">
        <f>VLookup(B87,'Product Table'!$A$2:$C$11,3,FALSE)</f>
        <v>900</v>
      </c>
      <c r="J87" s="11">
        <f>Vlookup(D87,'Customer Table'!$A$2:$C$7,3,FALSE)</f>
        <v>0.1</v>
      </c>
      <c r="K87" s="10">
        <f t="shared" si="2"/>
        <v>300600</v>
      </c>
      <c r="L87" s="10">
        <f t="shared" si="3"/>
        <v>30060</v>
      </c>
      <c r="M87" s="10">
        <f t="shared" si="4"/>
        <v>270540</v>
      </c>
      <c r="N87" s="10" t="str">
        <f>vlookup(B87,'Product Table'!$A$2:$B$11,2,FALSE)</f>
        <v>Decor</v>
      </c>
    </row>
    <row r="88">
      <c r="A88" s="4" t="s">
        <v>179</v>
      </c>
      <c r="B88" s="5" t="s">
        <v>58</v>
      </c>
      <c r="C88" s="5" t="s">
        <v>180</v>
      </c>
      <c r="D88" s="6" t="s">
        <v>22</v>
      </c>
      <c r="E88" s="7">
        <f>IFERROR(__xludf.DUMMYFUNCTION("SPLIT(C88,""/"")"),601.0)</f>
        <v>601</v>
      </c>
      <c r="F88" s="7" t="str">
        <f>IFERROR(__xludf.DUMMYFUNCTION("""COMPUTED_VALUE"""),"XYZ083")</f>
        <v>XYZ083</v>
      </c>
      <c r="G88" s="7" t="str">
        <f>IFERROR(__xludf.DUMMYFUNCTION("""COMPUTED_VALUE"""),"December")</f>
        <v>December</v>
      </c>
      <c r="H88" s="7">
        <f t="shared" si="1"/>
        <v>601</v>
      </c>
      <c r="I88" s="10">
        <f>VLookup(B88,'Product Table'!$A$2:$C$11,3,FALSE)</f>
        <v>3000</v>
      </c>
      <c r="J88" s="11">
        <f>Vlookup(D88,'Customer Table'!$A$2:$C$7,3,FALSE)</f>
        <v>0.1</v>
      </c>
      <c r="K88" s="10">
        <f t="shared" si="2"/>
        <v>1803000</v>
      </c>
      <c r="L88" s="10">
        <f t="shared" si="3"/>
        <v>180300</v>
      </c>
      <c r="M88" s="10">
        <f t="shared" si="4"/>
        <v>1622700</v>
      </c>
      <c r="N88" s="10" t="str">
        <f>vlookup(B88,'Product Table'!$A$2:$B$11,2,FALSE)</f>
        <v>Furniture</v>
      </c>
    </row>
    <row r="89">
      <c r="A89" s="4" t="s">
        <v>181</v>
      </c>
      <c r="B89" s="5" t="s">
        <v>63</v>
      </c>
      <c r="C89" s="5" t="s">
        <v>182</v>
      </c>
      <c r="D89" s="6" t="s">
        <v>28</v>
      </c>
      <c r="E89" s="7">
        <f>IFERROR(__xludf.DUMMYFUNCTION("SPLIT(C89,""/"")"),511.0)</f>
        <v>511</v>
      </c>
      <c r="F89" s="7" t="str">
        <f>IFERROR(__xludf.DUMMYFUNCTION("""COMPUTED_VALUE"""),"XYZ084")</f>
        <v>XYZ084</v>
      </c>
      <c r="G89" s="7" t="str">
        <f>IFERROR(__xludf.DUMMYFUNCTION("""COMPUTED_VALUE"""),"May")</f>
        <v>May</v>
      </c>
      <c r="H89" s="7">
        <f t="shared" si="1"/>
        <v>511</v>
      </c>
      <c r="I89" s="10">
        <f>VLookup(B89,'Product Table'!$A$2:$C$11,3,FALSE)</f>
        <v>6800</v>
      </c>
      <c r="J89" s="11">
        <f>Vlookup(D89,'Customer Table'!$A$2:$C$7,3,FALSE)</f>
        <v>0.15</v>
      </c>
      <c r="K89" s="10">
        <f t="shared" si="2"/>
        <v>3474800</v>
      </c>
      <c r="L89" s="10">
        <f t="shared" si="3"/>
        <v>521220</v>
      </c>
      <c r="M89" s="10">
        <f t="shared" si="4"/>
        <v>2953580</v>
      </c>
      <c r="N89" s="10" t="str">
        <f>vlookup(B89,'Product Table'!$A$2:$B$11,2,FALSE)</f>
        <v>Bedding</v>
      </c>
    </row>
    <row r="90">
      <c r="A90" s="4" t="s">
        <v>183</v>
      </c>
      <c r="B90" s="5" t="s">
        <v>9</v>
      </c>
      <c r="C90" s="5" t="s">
        <v>184</v>
      </c>
      <c r="D90" s="6" t="s">
        <v>15</v>
      </c>
      <c r="E90" s="7">
        <f>IFERROR(__xludf.DUMMYFUNCTION("SPLIT(C90,""/"")"),541.0)</f>
        <v>541</v>
      </c>
      <c r="F90" s="7" t="str">
        <f>IFERROR(__xludf.DUMMYFUNCTION("""COMPUTED_VALUE"""),"XYZ086")</f>
        <v>XYZ086</v>
      </c>
      <c r="G90" s="7" t="str">
        <f>IFERROR(__xludf.DUMMYFUNCTION("""COMPUTED_VALUE"""),"February")</f>
        <v>February</v>
      </c>
      <c r="H90" s="7">
        <f t="shared" si="1"/>
        <v>541</v>
      </c>
      <c r="I90" s="10">
        <f>VLookup(B90,'Product Table'!$A$2:$C$11,3,FALSE)</f>
        <v>7300</v>
      </c>
      <c r="J90" s="11">
        <f>Vlookup(D90,'Customer Table'!$A$2:$C$7,3,FALSE)</f>
        <v>0.12</v>
      </c>
      <c r="K90" s="10">
        <f t="shared" si="2"/>
        <v>3949300</v>
      </c>
      <c r="L90" s="10">
        <f t="shared" si="3"/>
        <v>473916</v>
      </c>
      <c r="M90" s="10">
        <f t="shared" si="4"/>
        <v>3475384</v>
      </c>
      <c r="N90" s="10" t="str">
        <f>vlookup(B90,'Product Table'!$A$2:$B$11,2,FALSE)</f>
        <v>Furniture</v>
      </c>
    </row>
    <row r="91">
      <c r="A91" s="4" t="s">
        <v>185</v>
      </c>
      <c r="B91" s="5" t="s">
        <v>5</v>
      </c>
      <c r="C91" s="5" t="s">
        <v>186</v>
      </c>
      <c r="D91" s="6" t="s">
        <v>15</v>
      </c>
      <c r="E91" s="7">
        <f>IFERROR(__xludf.DUMMYFUNCTION("SPLIT(C91,""/"")"),536.0)</f>
        <v>536</v>
      </c>
      <c r="F91" s="7" t="str">
        <f>IFERROR(__xludf.DUMMYFUNCTION("""COMPUTED_VALUE"""),"XYZ083")</f>
        <v>XYZ083</v>
      </c>
      <c r="G91" s="7" t="str">
        <f>IFERROR(__xludf.DUMMYFUNCTION("""COMPUTED_VALUE"""),"September")</f>
        <v>September</v>
      </c>
      <c r="H91" s="7">
        <f t="shared" si="1"/>
        <v>536</v>
      </c>
      <c r="I91" s="10">
        <f>VLookup(B91,'Product Table'!$A$2:$C$11,3,FALSE)</f>
        <v>4700</v>
      </c>
      <c r="J91" s="11">
        <f>Vlookup(D91,'Customer Table'!$A$2:$C$7,3,FALSE)</f>
        <v>0.12</v>
      </c>
      <c r="K91" s="10">
        <f t="shared" si="2"/>
        <v>2519200</v>
      </c>
      <c r="L91" s="10">
        <f t="shared" si="3"/>
        <v>302304</v>
      </c>
      <c r="M91" s="10">
        <f t="shared" si="4"/>
        <v>2216896</v>
      </c>
      <c r="N91" s="10" t="str">
        <f>vlookup(B91,'Product Table'!$A$2:$B$11,2,FALSE)</f>
        <v>Dinning</v>
      </c>
    </row>
    <row r="92">
      <c r="A92" s="4" t="s">
        <v>187</v>
      </c>
      <c r="B92" s="5" t="s">
        <v>5</v>
      </c>
      <c r="C92" s="5" t="s">
        <v>188</v>
      </c>
      <c r="D92" s="6" t="s">
        <v>7</v>
      </c>
      <c r="E92" s="7">
        <f>IFERROR(__xludf.DUMMYFUNCTION("SPLIT(C92,""/"")"),533.0)</f>
        <v>533</v>
      </c>
      <c r="F92" s="7" t="str">
        <f>IFERROR(__xludf.DUMMYFUNCTION("""COMPUTED_VALUE"""),"XYZ081")</f>
        <v>XYZ081</v>
      </c>
      <c r="G92" s="7" t="str">
        <f>IFERROR(__xludf.DUMMYFUNCTION("""COMPUTED_VALUE"""),"February")</f>
        <v>February</v>
      </c>
      <c r="H92" s="7">
        <f t="shared" si="1"/>
        <v>533</v>
      </c>
      <c r="I92" s="10">
        <f>VLookup(B92,'Product Table'!$A$2:$C$11,3,FALSE)</f>
        <v>4700</v>
      </c>
      <c r="J92" s="11">
        <f>Vlookup(D92,'Customer Table'!$A$2:$C$7,3,FALSE)</f>
        <v>0.08</v>
      </c>
      <c r="K92" s="10">
        <f t="shared" si="2"/>
        <v>2505100</v>
      </c>
      <c r="L92" s="10">
        <f t="shared" si="3"/>
        <v>200408</v>
      </c>
      <c r="M92" s="10">
        <f t="shared" si="4"/>
        <v>2304692</v>
      </c>
      <c r="N92" s="10" t="str">
        <f>vlookup(B92,'Product Table'!$A$2:$B$11,2,FALSE)</f>
        <v>Dinning</v>
      </c>
    </row>
    <row r="93">
      <c r="A93" s="4" t="s">
        <v>189</v>
      </c>
      <c r="B93" s="5" t="s">
        <v>54</v>
      </c>
      <c r="C93" s="5" t="s">
        <v>190</v>
      </c>
      <c r="D93" s="6" t="s">
        <v>56</v>
      </c>
      <c r="E93" s="7">
        <f>IFERROR(__xludf.DUMMYFUNCTION("SPLIT(C93,""/"")"),518.0)</f>
        <v>518</v>
      </c>
      <c r="F93" s="7" t="str">
        <f>IFERROR(__xludf.DUMMYFUNCTION("""COMPUTED_VALUE"""),"XYZ086")</f>
        <v>XYZ086</v>
      </c>
      <c r="G93" s="7" t="str">
        <f>IFERROR(__xludf.DUMMYFUNCTION("""COMPUTED_VALUE"""),"March")</f>
        <v>March</v>
      </c>
      <c r="H93" s="7">
        <f t="shared" si="1"/>
        <v>518</v>
      </c>
      <c r="I93" s="10">
        <f>VLookup(B93,'Product Table'!$A$2:$C$11,3,FALSE)</f>
        <v>1200</v>
      </c>
      <c r="J93" s="11">
        <f>Vlookup(D93,'Customer Table'!$A$2:$C$7,3,FALSE)</f>
        <v>0.05</v>
      </c>
      <c r="K93" s="10">
        <f t="shared" si="2"/>
        <v>621600</v>
      </c>
      <c r="L93" s="10">
        <f t="shared" si="3"/>
        <v>31080</v>
      </c>
      <c r="M93" s="10">
        <f t="shared" si="4"/>
        <v>590520</v>
      </c>
      <c r="N93" s="10" t="str">
        <f>vlookup(B93,'Product Table'!$A$2:$B$11,2,FALSE)</f>
        <v>Lighting</v>
      </c>
    </row>
    <row r="94">
      <c r="A94" s="4" t="s">
        <v>191</v>
      </c>
      <c r="B94" s="5" t="s">
        <v>30</v>
      </c>
      <c r="C94" s="5" t="s">
        <v>192</v>
      </c>
      <c r="D94" s="6" t="s">
        <v>56</v>
      </c>
      <c r="E94" s="7">
        <f>IFERROR(__xludf.DUMMYFUNCTION("SPLIT(C94,""/"")"),392.0)</f>
        <v>392</v>
      </c>
      <c r="F94" s="7" t="str">
        <f>IFERROR(__xludf.DUMMYFUNCTION("""COMPUTED_VALUE"""),"XYZ086")</f>
        <v>XYZ086</v>
      </c>
      <c r="G94" s="7" t="str">
        <f>IFERROR(__xludf.DUMMYFUNCTION("""COMPUTED_VALUE"""),"April")</f>
        <v>April</v>
      </c>
      <c r="H94" s="7">
        <f t="shared" si="1"/>
        <v>392</v>
      </c>
      <c r="I94" s="10">
        <f>VLookup(B94,'Product Table'!$A$2:$C$11,3,FALSE)</f>
        <v>900</v>
      </c>
      <c r="J94" s="11">
        <f>Vlookup(D94,'Customer Table'!$A$2:$C$7,3,FALSE)</f>
        <v>0.05</v>
      </c>
      <c r="K94" s="10">
        <f t="shared" si="2"/>
        <v>352800</v>
      </c>
      <c r="L94" s="10">
        <f t="shared" si="3"/>
        <v>17640</v>
      </c>
      <c r="M94" s="10">
        <f t="shared" si="4"/>
        <v>335160</v>
      </c>
      <c r="N94" s="10" t="str">
        <f>vlookup(B94,'Product Table'!$A$2:$B$11,2,FALSE)</f>
        <v>Decor</v>
      </c>
    </row>
    <row r="95">
      <c r="A95" s="4" t="s">
        <v>193</v>
      </c>
      <c r="B95" s="5" t="s">
        <v>54</v>
      </c>
      <c r="C95" s="5" t="s">
        <v>194</v>
      </c>
      <c r="D95" s="6" t="s">
        <v>56</v>
      </c>
      <c r="E95" s="7">
        <f>IFERROR(__xludf.DUMMYFUNCTION("SPLIT(C95,""/"")"),557.0)</f>
        <v>557</v>
      </c>
      <c r="F95" s="7" t="str">
        <f>IFERROR(__xludf.DUMMYFUNCTION("""COMPUTED_VALUE"""),"XYZ079")</f>
        <v>XYZ079</v>
      </c>
      <c r="G95" s="7" t="str">
        <f>IFERROR(__xludf.DUMMYFUNCTION("""COMPUTED_VALUE"""),"May")</f>
        <v>May</v>
      </c>
      <c r="H95" s="7">
        <f t="shared" si="1"/>
        <v>557</v>
      </c>
      <c r="I95" s="10">
        <f>VLookup(B95,'Product Table'!$A$2:$C$11,3,FALSE)</f>
        <v>1200</v>
      </c>
      <c r="J95" s="11">
        <f>Vlookup(D95,'Customer Table'!$A$2:$C$7,3,FALSE)</f>
        <v>0.05</v>
      </c>
      <c r="K95" s="10">
        <f t="shared" si="2"/>
        <v>668400</v>
      </c>
      <c r="L95" s="10">
        <f t="shared" si="3"/>
        <v>33420</v>
      </c>
      <c r="M95" s="10">
        <f t="shared" si="4"/>
        <v>634980</v>
      </c>
      <c r="N95" s="10" t="str">
        <f>vlookup(B95,'Product Table'!$A$2:$B$11,2,FALSE)</f>
        <v>Lighting</v>
      </c>
    </row>
    <row r="96">
      <c r="A96" s="4" t="s">
        <v>195</v>
      </c>
      <c r="B96" s="5" t="s">
        <v>58</v>
      </c>
      <c r="C96" s="5" t="s">
        <v>196</v>
      </c>
      <c r="D96" s="6" t="s">
        <v>28</v>
      </c>
      <c r="E96" s="7">
        <f>IFERROR(__xludf.DUMMYFUNCTION("SPLIT(C96,""/"")"),497.0)</f>
        <v>497</v>
      </c>
      <c r="F96" s="7" t="str">
        <f>IFERROR(__xludf.DUMMYFUNCTION("""COMPUTED_VALUE"""),"XYZ084")</f>
        <v>XYZ084</v>
      </c>
      <c r="G96" s="7" t="str">
        <f>IFERROR(__xludf.DUMMYFUNCTION("""COMPUTED_VALUE"""),"June")</f>
        <v>June</v>
      </c>
      <c r="H96" s="7">
        <f t="shared" si="1"/>
        <v>497</v>
      </c>
      <c r="I96" s="10">
        <f>VLookup(B96,'Product Table'!$A$2:$C$11,3,FALSE)</f>
        <v>3000</v>
      </c>
      <c r="J96" s="11">
        <f>Vlookup(D96,'Customer Table'!$A$2:$C$7,3,FALSE)</f>
        <v>0.15</v>
      </c>
      <c r="K96" s="10">
        <f t="shared" si="2"/>
        <v>1491000</v>
      </c>
      <c r="L96" s="10">
        <f t="shared" si="3"/>
        <v>223650</v>
      </c>
      <c r="M96" s="10">
        <f t="shared" si="4"/>
        <v>1267350</v>
      </c>
      <c r="N96" s="10" t="str">
        <f>vlookup(B96,'Product Table'!$A$2:$B$11,2,FALSE)</f>
        <v>Furniture</v>
      </c>
    </row>
    <row r="97">
      <c r="A97" s="4" t="s">
        <v>197</v>
      </c>
      <c r="B97" s="5" t="s">
        <v>76</v>
      </c>
      <c r="C97" s="5" t="s">
        <v>198</v>
      </c>
      <c r="D97" s="6" t="s">
        <v>11</v>
      </c>
      <c r="E97" s="7">
        <f>IFERROR(__xludf.DUMMYFUNCTION("SPLIT(C97,""/"")"),566.0)</f>
        <v>566</v>
      </c>
      <c r="F97" s="7" t="str">
        <f>IFERROR(__xludf.DUMMYFUNCTION("""COMPUTED_VALUE"""),"XYZ086")</f>
        <v>XYZ086</v>
      </c>
      <c r="G97" s="7" t="str">
        <f>IFERROR(__xludf.DUMMYFUNCTION("""COMPUTED_VALUE"""),"July")</f>
        <v>July</v>
      </c>
      <c r="H97" s="7">
        <f t="shared" si="1"/>
        <v>566</v>
      </c>
      <c r="I97" s="10">
        <f>VLookup(B97,'Product Table'!$A$2:$C$11,3,FALSE)</f>
        <v>8800</v>
      </c>
      <c r="J97" s="11">
        <f>Vlookup(D97,'Customer Table'!$A$2:$C$7,3,FALSE)</f>
        <v>0.06</v>
      </c>
      <c r="K97" s="10">
        <f t="shared" si="2"/>
        <v>4980800</v>
      </c>
      <c r="L97" s="10">
        <f t="shared" si="3"/>
        <v>298848</v>
      </c>
      <c r="M97" s="10">
        <f t="shared" si="4"/>
        <v>4681952</v>
      </c>
      <c r="N97" s="10" t="str">
        <f>vlookup(B97,'Product Table'!$A$2:$B$11,2,FALSE)</f>
        <v>Bedding</v>
      </c>
    </row>
    <row r="98">
      <c r="A98" s="4" t="s">
        <v>199</v>
      </c>
      <c r="B98" s="5" t="s">
        <v>13</v>
      </c>
      <c r="C98" s="5" t="s">
        <v>200</v>
      </c>
      <c r="D98" s="6" t="s">
        <v>56</v>
      </c>
      <c r="E98" s="7">
        <f>IFERROR(__xludf.DUMMYFUNCTION("SPLIT(C98,""/"")"),376.0)</f>
        <v>376</v>
      </c>
      <c r="F98" s="7" t="str">
        <f>IFERROR(__xludf.DUMMYFUNCTION("""COMPUTED_VALUE"""),"XYZ086")</f>
        <v>XYZ086</v>
      </c>
      <c r="G98" s="7" t="str">
        <f>IFERROR(__xludf.DUMMYFUNCTION("""COMPUTED_VALUE"""),"August")</f>
        <v>August</v>
      </c>
      <c r="H98" s="7">
        <f t="shared" si="1"/>
        <v>376</v>
      </c>
      <c r="I98" s="10">
        <f>VLookup(B98,'Product Table'!$A$2:$C$11,3,FALSE)</f>
        <v>1100</v>
      </c>
      <c r="J98" s="11">
        <f>Vlookup(D98,'Customer Table'!$A$2:$C$7,3,FALSE)</f>
        <v>0.05</v>
      </c>
      <c r="K98" s="10">
        <f t="shared" si="2"/>
        <v>413600</v>
      </c>
      <c r="L98" s="10">
        <f t="shared" si="3"/>
        <v>20680</v>
      </c>
      <c r="M98" s="10">
        <f t="shared" si="4"/>
        <v>392920</v>
      </c>
      <c r="N98" s="10" t="str">
        <f>vlookup(B98,'Product Table'!$A$2:$B$11,2,FALSE)</f>
        <v>Decor</v>
      </c>
    </row>
    <row r="99">
      <c r="A99" s="4" t="s">
        <v>201</v>
      </c>
      <c r="B99" s="5" t="s">
        <v>63</v>
      </c>
      <c r="C99" s="5" t="s">
        <v>202</v>
      </c>
      <c r="D99" s="6" t="s">
        <v>7</v>
      </c>
      <c r="E99" s="7">
        <f>IFERROR(__xludf.DUMMYFUNCTION("SPLIT(C99,""/"")"),484.0)</f>
        <v>484</v>
      </c>
      <c r="F99" s="7" t="str">
        <f>IFERROR(__xludf.DUMMYFUNCTION("""COMPUTED_VALUE"""),"XYZ079")</f>
        <v>XYZ079</v>
      </c>
      <c r="G99" s="7" t="str">
        <f>IFERROR(__xludf.DUMMYFUNCTION("""COMPUTED_VALUE"""),"September")</f>
        <v>September</v>
      </c>
      <c r="H99" s="7">
        <f t="shared" si="1"/>
        <v>484</v>
      </c>
      <c r="I99" s="10">
        <f>VLookup(B99,'Product Table'!$A$2:$C$11,3,FALSE)</f>
        <v>6800</v>
      </c>
      <c r="J99" s="11">
        <f>Vlookup(D99,'Customer Table'!$A$2:$C$7,3,FALSE)</f>
        <v>0.08</v>
      </c>
      <c r="K99" s="10">
        <f t="shared" si="2"/>
        <v>3291200</v>
      </c>
      <c r="L99" s="10">
        <f t="shared" si="3"/>
        <v>263296</v>
      </c>
      <c r="M99" s="10">
        <f t="shared" si="4"/>
        <v>3027904</v>
      </c>
      <c r="N99" s="10" t="str">
        <f>vlookup(B99,'Product Table'!$A$2:$B$11,2,FALSE)</f>
        <v>Bedding</v>
      </c>
    </row>
    <row r="100">
      <c r="A100" s="4" t="s">
        <v>203</v>
      </c>
      <c r="B100" s="5" t="s">
        <v>9</v>
      </c>
      <c r="C100" s="5" t="s">
        <v>204</v>
      </c>
      <c r="D100" s="6" t="s">
        <v>11</v>
      </c>
      <c r="E100" s="7">
        <f>IFERROR(__xludf.DUMMYFUNCTION("SPLIT(C100,""/"")"),575.0)</f>
        <v>575</v>
      </c>
      <c r="F100" s="7" t="str">
        <f>IFERROR(__xludf.DUMMYFUNCTION("""COMPUTED_VALUE"""),"XYZ079")</f>
        <v>XYZ079</v>
      </c>
      <c r="G100" s="7" t="str">
        <f>IFERROR(__xludf.DUMMYFUNCTION("""COMPUTED_VALUE"""),"October")</f>
        <v>October</v>
      </c>
      <c r="H100" s="7">
        <f t="shared" si="1"/>
        <v>575</v>
      </c>
      <c r="I100" s="10">
        <f>VLookup(B100,'Product Table'!$A$2:$C$11,3,FALSE)</f>
        <v>7300</v>
      </c>
      <c r="J100" s="11">
        <f>Vlookup(D100,'Customer Table'!$A$2:$C$7,3,FALSE)</f>
        <v>0.06</v>
      </c>
      <c r="K100" s="10">
        <f t="shared" si="2"/>
        <v>4197500</v>
      </c>
      <c r="L100" s="10">
        <f t="shared" si="3"/>
        <v>251850</v>
      </c>
      <c r="M100" s="10">
        <f t="shared" si="4"/>
        <v>3945650</v>
      </c>
      <c r="N100" s="10" t="str">
        <f>vlookup(B100,'Product Table'!$A$2:$B$11,2,FALSE)</f>
        <v>Furniture</v>
      </c>
    </row>
    <row r="101">
      <c r="A101" s="4" t="s">
        <v>205</v>
      </c>
      <c r="B101" s="5" t="s">
        <v>5</v>
      </c>
      <c r="C101" s="5" t="s">
        <v>206</v>
      </c>
      <c r="D101" s="6" t="s">
        <v>15</v>
      </c>
      <c r="E101" s="7">
        <f>IFERROR(__xludf.DUMMYFUNCTION("SPLIT(C101,""/"")"),531.0)</f>
        <v>531</v>
      </c>
      <c r="F101" s="7" t="str">
        <f>IFERROR(__xludf.DUMMYFUNCTION("""COMPUTED_VALUE"""),"XYZ078")</f>
        <v>XYZ078</v>
      </c>
      <c r="G101" s="7" t="str">
        <f>IFERROR(__xludf.DUMMYFUNCTION("""COMPUTED_VALUE"""),"June")</f>
        <v>June</v>
      </c>
      <c r="H101" s="7">
        <f t="shared" si="1"/>
        <v>531</v>
      </c>
      <c r="I101" s="10">
        <f>VLookup(B101,'Product Table'!$A$2:$C$11,3,FALSE)</f>
        <v>4700</v>
      </c>
      <c r="J101" s="11">
        <f>Vlookup(D101,'Customer Table'!$A$2:$C$7,3,FALSE)</f>
        <v>0.12</v>
      </c>
      <c r="K101" s="10">
        <f t="shared" si="2"/>
        <v>2495700</v>
      </c>
      <c r="L101" s="10">
        <f t="shared" si="3"/>
        <v>299484</v>
      </c>
      <c r="M101" s="10">
        <f t="shared" si="4"/>
        <v>2196216</v>
      </c>
      <c r="N101" s="10" t="str">
        <f>vlookup(B101,'Product Table'!$A$2:$B$11,2,FALSE)</f>
        <v>Dinning</v>
      </c>
    </row>
    <row r="102">
      <c r="A102" s="4" t="s">
        <v>207</v>
      </c>
      <c r="B102" s="5" t="s">
        <v>9</v>
      </c>
      <c r="C102" s="5" t="s">
        <v>208</v>
      </c>
      <c r="D102" s="6" t="s">
        <v>56</v>
      </c>
      <c r="E102" s="7">
        <f>IFERROR(__xludf.DUMMYFUNCTION("SPLIT(C102,""/"")"),339.0)</f>
        <v>339</v>
      </c>
      <c r="F102" s="7" t="str">
        <f>IFERROR(__xludf.DUMMYFUNCTION("""COMPUTED_VALUE"""),"XYZ079")</f>
        <v>XYZ079</v>
      </c>
      <c r="G102" s="7" t="str">
        <f>IFERROR(__xludf.DUMMYFUNCTION("""COMPUTED_VALUE"""),"December")</f>
        <v>December</v>
      </c>
      <c r="H102" s="7">
        <f t="shared" si="1"/>
        <v>339</v>
      </c>
      <c r="I102" s="10">
        <f>VLookup(B102,'Product Table'!$A$2:$C$11,3,FALSE)</f>
        <v>7300</v>
      </c>
      <c r="J102" s="11">
        <f>Vlookup(D102,'Customer Table'!$A$2:$C$7,3,FALSE)</f>
        <v>0.05</v>
      </c>
      <c r="K102" s="10">
        <f t="shared" si="2"/>
        <v>2474700</v>
      </c>
      <c r="L102" s="10">
        <f t="shared" si="3"/>
        <v>123735</v>
      </c>
      <c r="M102" s="10">
        <f t="shared" si="4"/>
        <v>2350965</v>
      </c>
      <c r="N102" s="10" t="str">
        <f>vlookup(B102,'Product Table'!$A$2:$B$11,2,FALSE)</f>
        <v>Furniture</v>
      </c>
    </row>
    <row r="103">
      <c r="A103" s="4" t="s">
        <v>209</v>
      </c>
      <c r="B103" s="5" t="s">
        <v>30</v>
      </c>
      <c r="C103" s="5" t="s">
        <v>210</v>
      </c>
      <c r="D103" s="6" t="s">
        <v>22</v>
      </c>
      <c r="E103" s="7">
        <f>IFERROR(__xludf.DUMMYFUNCTION("SPLIT(C103,""/"")"),458.0)</f>
        <v>458</v>
      </c>
      <c r="F103" s="7" t="str">
        <f>IFERROR(__xludf.DUMMYFUNCTION("""COMPUTED_VALUE"""),"XYZ084")</f>
        <v>XYZ084</v>
      </c>
      <c r="G103" s="7" t="str">
        <f>IFERROR(__xludf.DUMMYFUNCTION("""COMPUTED_VALUE"""),"September")</f>
        <v>September</v>
      </c>
      <c r="H103" s="7">
        <f t="shared" si="1"/>
        <v>458</v>
      </c>
      <c r="I103" s="10">
        <f>VLookup(B103,'Product Table'!$A$2:$C$11,3,FALSE)</f>
        <v>900</v>
      </c>
      <c r="J103" s="11">
        <f>Vlookup(D103,'Customer Table'!$A$2:$C$7,3,FALSE)</f>
        <v>0.1</v>
      </c>
      <c r="K103" s="10">
        <f t="shared" si="2"/>
        <v>412200</v>
      </c>
      <c r="L103" s="10">
        <f t="shared" si="3"/>
        <v>41220</v>
      </c>
      <c r="M103" s="10">
        <f t="shared" si="4"/>
        <v>370980</v>
      </c>
      <c r="N103" s="10" t="str">
        <f>vlookup(B103,'Product Table'!$A$2:$B$11,2,FALSE)</f>
        <v>Decor</v>
      </c>
    </row>
    <row r="104">
      <c r="A104" s="4" t="s">
        <v>211</v>
      </c>
      <c r="B104" s="5" t="s">
        <v>30</v>
      </c>
      <c r="C104" s="5" t="s">
        <v>212</v>
      </c>
      <c r="D104" s="6" t="s">
        <v>56</v>
      </c>
      <c r="E104" s="7">
        <f>IFERROR(__xludf.DUMMYFUNCTION("SPLIT(C104,""/"")"),427.0)</f>
        <v>427</v>
      </c>
      <c r="F104" s="7" t="str">
        <f>IFERROR(__xludf.DUMMYFUNCTION("""COMPUTED_VALUE"""),"XYZ086")</f>
        <v>XYZ086</v>
      </c>
      <c r="G104" s="7" t="str">
        <f>IFERROR(__xludf.DUMMYFUNCTION("""COMPUTED_VALUE"""),"October")</f>
        <v>October</v>
      </c>
      <c r="H104" s="7">
        <f t="shared" si="1"/>
        <v>427</v>
      </c>
      <c r="I104" s="10">
        <f>VLookup(B104,'Product Table'!$A$2:$C$11,3,FALSE)</f>
        <v>900</v>
      </c>
      <c r="J104" s="11">
        <f>Vlookup(D104,'Customer Table'!$A$2:$C$7,3,FALSE)</f>
        <v>0.05</v>
      </c>
      <c r="K104" s="10">
        <f t="shared" si="2"/>
        <v>384300</v>
      </c>
      <c r="L104" s="10">
        <f t="shared" si="3"/>
        <v>19215</v>
      </c>
      <c r="M104" s="10">
        <f t="shared" si="4"/>
        <v>365085</v>
      </c>
      <c r="N104" s="10" t="str">
        <f>vlookup(B104,'Product Table'!$A$2:$B$11,2,FALSE)</f>
        <v>Decor</v>
      </c>
    </row>
    <row r="105">
      <c r="A105" s="4" t="s">
        <v>213</v>
      </c>
      <c r="B105" s="5" t="s">
        <v>5</v>
      </c>
      <c r="C105" s="5" t="s">
        <v>214</v>
      </c>
      <c r="D105" s="6" t="s">
        <v>11</v>
      </c>
      <c r="E105" s="7">
        <f>IFERROR(__xludf.DUMMYFUNCTION("SPLIT(C105,""/"")"),582.0)</f>
        <v>582</v>
      </c>
      <c r="F105" s="7" t="str">
        <f>IFERROR(__xludf.DUMMYFUNCTION("""COMPUTED_VALUE"""),"XYZ080")</f>
        <v>XYZ080</v>
      </c>
      <c r="G105" s="7" t="str">
        <f>IFERROR(__xludf.DUMMYFUNCTION("""COMPUTED_VALUE"""),"February")</f>
        <v>February</v>
      </c>
      <c r="H105" s="7">
        <f t="shared" si="1"/>
        <v>582</v>
      </c>
      <c r="I105" s="10">
        <f>VLookup(B105,'Product Table'!$A$2:$C$11,3,FALSE)</f>
        <v>4700</v>
      </c>
      <c r="J105" s="11">
        <f>Vlookup(D105,'Customer Table'!$A$2:$C$7,3,FALSE)</f>
        <v>0.06</v>
      </c>
      <c r="K105" s="10">
        <f t="shared" si="2"/>
        <v>2735400</v>
      </c>
      <c r="L105" s="10">
        <f t="shared" si="3"/>
        <v>164124</v>
      </c>
      <c r="M105" s="10">
        <f t="shared" si="4"/>
        <v>2571276</v>
      </c>
      <c r="N105" s="10" t="str">
        <f>vlookup(B105,'Product Table'!$A$2:$B$11,2,FALSE)</f>
        <v>Dinning</v>
      </c>
    </row>
    <row r="106">
      <c r="A106" s="4" t="s">
        <v>215</v>
      </c>
      <c r="B106" s="5" t="s">
        <v>9</v>
      </c>
      <c r="C106" s="5" t="s">
        <v>216</v>
      </c>
      <c r="D106" s="6" t="s">
        <v>22</v>
      </c>
      <c r="E106" s="7">
        <f>IFERROR(__xludf.DUMMYFUNCTION("SPLIT(C106,""/"")"),570.0)</f>
        <v>570</v>
      </c>
      <c r="F106" s="7" t="str">
        <f>IFERROR(__xludf.DUMMYFUNCTION("""COMPUTED_VALUE"""),"XYZ081")</f>
        <v>XYZ081</v>
      </c>
      <c r="G106" s="7" t="str">
        <f>IFERROR(__xludf.DUMMYFUNCTION("""COMPUTED_VALUE"""),"May")</f>
        <v>May</v>
      </c>
      <c r="H106" s="7">
        <f t="shared" si="1"/>
        <v>570</v>
      </c>
      <c r="I106" s="10">
        <f>VLookup(B106,'Product Table'!$A$2:$C$11,3,FALSE)</f>
        <v>7300</v>
      </c>
      <c r="J106" s="11">
        <f>Vlookup(D106,'Customer Table'!$A$2:$C$7,3,FALSE)</f>
        <v>0.1</v>
      </c>
      <c r="K106" s="10">
        <f t="shared" si="2"/>
        <v>4161000</v>
      </c>
      <c r="L106" s="10">
        <f t="shared" si="3"/>
        <v>416100</v>
      </c>
      <c r="M106" s="10">
        <f t="shared" si="4"/>
        <v>3744900</v>
      </c>
      <c r="N106" s="10" t="str">
        <f>vlookup(B106,'Product Table'!$A$2:$B$11,2,FALSE)</f>
        <v>Furniture</v>
      </c>
    </row>
    <row r="107">
      <c r="A107" s="4" t="s">
        <v>217</v>
      </c>
      <c r="B107" s="5" t="s">
        <v>30</v>
      </c>
      <c r="C107" s="5" t="s">
        <v>218</v>
      </c>
      <c r="D107" s="6" t="s">
        <v>15</v>
      </c>
      <c r="E107" s="7">
        <f>IFERROR(__xludf.DUMMYFUNCTION("SPLIT(C107,""/"")"),348.0)</f>
        <v>348</v>
      </c>
      <c r="F107" s="7" t="str">
        <f>IFERROR(__xludf.DUMMYFUNCTION("""COMPUTED_VALUE"""),"XYZ082")</f>
        <v>XYZ082</v>
      </c>
      <c r="G107" s="7" t="str">
        <f>IFERROR(__xludf.DUMMYFUNCTION("""COMPUTED_VALUE"""),"June")</f>
        <v>June</v>
      </c>
      <c r="H107" s="7">
        <f t="shared" si="1"/>
        <v>348</v>
      </c>
      <c r="I107" s="10">
        <f>VLookup(B107,'Product Table'!$A$2:$C$11,3,FALSE)</f>
        <v>900</v>
      </c>
      <c r="J107" s="11">
        <f>Vlookup(D107,'Customer Table'!$A$2:$C$7,3,FALSE)</f>
        <v>0.12</v>
      </c>
      <c r="K107" s="10">
        <f t="shared" si="2"/>
        <v>313200</v>
      </c>
      <c r="L107" s="10">
        <f t="shared" si="3"/>
        <v>37584</v>
      </c>
      <c r="M107" s="10">
        <f t="shared" si="4"/>
        <v>275616</v>
      </c>
      <c r="N107" s="10" t="str">
        <f>vlookup(B107,'Product Table'!$A$2:$B$11,2,FALSE)</f>
        <v>Decor</v>
      </c>
    </row>
    <row r="108">
      <c r="A108" s="4" t="s">
        <v>219</v>
      </c>
      <c r="B108" s="5" t="s">
        <v>58</v>
      </c>
      <c r="C108" s="5" t="s">
        <v>220</v>
      </c>
      <c r="D108" s="6" t="s">
        <v>11</v>
      </c>
      <c r="E108" s="7">
        <f>IFERROR(__xludf.DUMMYFUNCTION("SPLIT(C108,""/"")"),307.0)</f>
        <v>307</v>
      </c>
      <c r="F108" s="7" t="str">
        <f>IFERROR(__xludf.DUMMYFUNCTION("""COMPUTED_VALUE"""),"XYZ079")</f>
        <v>XYZ079</v>
      </c>
      <c r="G108" s="7" t="str">
        <f>IFERROR(__xludf.DUMMYFUNCTION("""COMPUTED_VALUE"""),"July")</f>
        <v>July</v>
      </c>
      <c r="H108" s="7">
        <f t="shared" si="1"/>
        <v>307</v>
      </c>
      <c r="I108" s="10">
        <f>VLookup(B108,'Product Table'!$A$2:$C$11,3,FALSE)</f>
        <v>3000</v>
      </c>
      <c r="J108" s="11">
        <f>Vlookup(D108,'Customer Table'!$A$2:$C$7,3,FALSE)</f>
        <v>0.06</v>
      </c>
      <c r="K108" s="10">
        <f t="shared" si="2"/>
        <v>921000</v>
      </c>
      <c r="L108" s="10">
        <f t="shared" si="3"/>
        <v>55260</v>
      </c>
      <c r="M108" s="10">
        <f t="shared" si="4"/>
        <v>865740</v>
      </c>
      <c r="N108" s="10" t="str">
        <f>vlookup(B108,'Product Table'!$A$2:$B$11,2,FALSE)</f>
        <v>Furniture</v>
      </c>
    </row>
    <row r="109">
      <c r="A109" s="4" t="s">
        <v>221</v>
      </c>
      <c r="B109" s="5" t="s">
        <v>9</v>
      </c>
      <c r="C109" s="5" t="s">
        <v>222</v>
      </c>
      <c r="D109" s="6" t="s">
        <v>28</v>
      </c>
      <c r="E109" s="7">
        <f>IFERROR(__xludf.DUMMYFUNCTION("SPLIT(C109,""/"")"),316.0)</f>
        <v>316</v>
      </c>
      <c r="F109" s="7" t="str">
        <f>IFERROR(__xludf.DUMMYFUNCTION("""COMPUTED_VALUE"""),"XYZ085")</f>
        <v>XYZ085</v>
      </c>
      <c r="G109" s="7" t="str">
        <f>IFERROR(__xludf.DUMMYFUNCTION("""COMPUTED_VALUE"""),"February")</f>
        <v>February</v>
      </c>
      <c r="H109" s="7">
        <f t="shared" si="1"/>
        <v>316</v>
      </c>
      <c r="I109" s="10">
        <f>VLookup(B109,'Product Table'!$A$2:$C$11,3,FALSE)</f>
        <v>7300</v>
      </c>
      <c r="J109" s="11">
        <f>Vlookup(D109,'Customer Table'!$A$2:$C$7,3,FALSE)</f>
        <v>0.15</v>
      </c>
      <c r="K109" s="10">
        <f t="shared" si="2"/>
        <v>2306800</v>
      </c>
      <c r="L109" s="10">
        <f t="shared" si="3"/>
        <v>346020</v>
      </c>
      <c r="M109" s="10">
        <f t="shared" si="4"/>
        <v>1960780</v>
      </c>
      <c r="N109" s="10" t="str">
        <f>vlookup(B109,'Product Table'!$A$2:$B$11,2,FALSE)</f>
        <v>Furniture</v>
      </c>
    </row>
    <row r="110">
      <c r="A110" s="4" t="s">
        <v>223</v>
      </c>
      <c r="B110" s="5" t="s">
        <v>5</v>
      </c>
      <c r="C110" s="5" t="s">
        <v>224</v>
      </c>
      <c r="D110" s="6" t="s">
        <v>11</v>
      </c>
      <c r="E110" s="7">
        <f>IFERROR(__xludf.DUMMYFUNCTION("SPLIT(C110,""/"")"),403.0)</f>
        <v>403</v>
      </c>
      <c r="F110" s="7" t="str">
        <f>IFERROR(__xludf.DUMMYFUNCTION("""COMPUTED_VALUE"""),"XYZ085")</f>
        <v>XYZ085</v>
      </c>
      <c r="G110" s="7" t="str">
        <f>IFERROR(__xludf.DUMMYFUNCTION("""COMPUTED_VALUE"""),"August")</f>
        <v>August</v>
      </c>
      <c r="H110" s="7">
        <f t="shared" si="1"/>
        <v>403</v>
      </c>
      <c r="I110" s="10">
        <f>VLookup(B110,'Product Table'!$A$2:$C$11,3,FALSE)</f>
        <v>4700</v>
      </c>
      <c r="J110" s="11">
        <f>Vlookup(D110,'Customer Table'!$A$2:$C$7,3,FALSE)</f>
        <v>0.06</v>
      </c>
      <c r="K110" s="10">
        <f t="shared" si="2"/>
        <v>1894100</v>
      </c>
      <c r="L110" s="10">
        <f t="shared" si="3"/>
        <v>113646</v>
      </c>
      <c r="M110" s="10">
        <f t="shared" si="4"/>
        <v>1780454</v>
      </c>
      <c r="N110" s="10" t="str">
        <f>vlookup(B110,'Product Table'!$A$2:$B$11,2,FALSE)</f>
        <v>Dinning</v>
      </c>
    </row>
    <row r="111">
      <c r="A111" s="4" t="s">
        <v>225</v>
      </c>
      <c r="B111" s="5" t="s">
        <v>5</v>
      </c>
      <c r="C111" s="5" t="s">
        <v>226</v>
      </c>
      <c r="D111" s="6" t="s">
        <v>7</v>
      </c>
      <c r="E111" s="7">
        <f>IFERROR(__xludf.DUMMYFUNCTION("SPLIT(C111,""/"")"),430.0)</f>
        <v>430</v>
      </c>
      <c r="F111" s="7" t="str">
        <f>IFERROR(__xludf.DUMMYFUNCTION("""COMPUTED_VALUE"""),"XYZ078")</f>
        <v>XYZ078</v>
      </c>
      <c r="G111" s="7" t="str">
        <f>IFERROR(__xludf.DUMMYFUNCTION("""COMPUTED_VALUE"""),"December")</f>
        <v>December</v>
      </c>
      <c r="H111" s="7">
        <f t="shared" si="1"/>
        <v>430</v>
      </c>
      <c r="I111" s="10">
        <f>VLookup(B111,'Product Table'!$A$2:$C$11,3,FALSE)</f>
        <v>4700</v>
      </c>
      <c r="J111" s="11">
        <f>Vlookup(D111,'Customer Table'!$A$2:$C$7,3,FALSE)</f>
        <v>0.08</v>
      </c>
      <c r="K111" s="10">
        <f t="shared" si="2"/>
        <v>2021000</v>
      </c>
      <c r="L111" s="10">
        <f t="shared" si="3"/>
        <v>161680</v>
      </c>
      <c r="M111" s="10">
        <f t="shared" si="4"/>
        <v>1859320</v>
      </c>
      <c r="N111" s="10" t="str">
        <f>vlookup(B111,'Product Table'!$A$2:$B$11,2,FALSE)</f>
        <v>Dinning</v>
      </c>
    </row>
    <row r="112">
      <c r="A112" s="4" t="s">
        <v>227</v>
      </c>
      <c r="B112" s="5" t="s">
        <v>63</v>
      </c>
      <c r="C112" s="5" t="s">
        <v>228</v>
      </c>
      <c r="D112" s="6" t="s">
        <v>28</v>
      </c>
      <c r="E112" s="7">
        <f>IFERROR(__xludf.DUMMYFUNCTION("SPLIT(C112,""/"")"),487.0)</f>
        <v>487</v>
      </c>
      <c r="F112" s="7" t="str">
        <f>IFERROR(__xludf.DUMMYFUNCTION("""COMPUTED_VALUE"""),"XYZ081")</f>
        <v>XYZ081</v>
      </c>
      <c r="G112" s="7" t="str">
        <f>IFERROR(__xludf.DUMMYFUNCTION("""COMPUTED_VALUE"""),"February")</f>
        <v>February</v>
      </c>
      <c r="H112" s="7">
        <f t="shared" si="1"/>
        <v>487</v>
      </c>
      <c r="I112" s="10">
        <f>VLookup(B112,'Product Table'!$A$2:$C$11,3,FALSE)</f>
        <v>6800</v>
      </c>
      <c r="J112" s="11">
        <f>Vlookup(D112,'Customer Table'!$A$2:$C$7,3,FALSE)</f>
        <v>0.15</v>
      </c>
      <c r="K112" s="10">
        <f t="shared" si="2"/>
        <v>3311600</v>
      </c>
      <c r="L112" s="10">
        <f t="shared" si="3"/>
        <v>496740</v>
      </c>
      <c r="M112" s="10">
        <f t="shared" si="4"/>
        <v>2814860</v>
      </c>
      <c r="N112" s="10" t="str">
        <f>vlookup(B112,'Product Table'!$A$2:$B$11,2,FALSE)</f>
        <v>Bedding</v>
      </c>
    </row>
    <row r="113">
      <c r="E113" s="7"/>
      <c r="F113" s="7"/>
      <c r="G113" s="7"/>
      <c r="H113" s="7"/>
    </row>
    <row r="114">
      <c r="E114" s="7"/>
      <c r="F114" s="7"/>
      <c r="G114" s="7"/>
      <c r="H114" s="7"/>
    </row>
    <row r="115">
      <c r="E115" s="7"/>
      <c r="F115" s="7"/>
      <c r="G115" s="7"/>
      <c r="H115" s="7"/>
    </row>
    <row r="116">
      <c r="E116" s="7"/>
      <c r="F116" s="7"/>
      <c r="G116" s="7"/>
      <c r="H116" s="7"/>
    </row>
    <row r="117">
      <c r="E117" s="7"/>
      <c r="F117" s="7"/>
      <c r="G117" s="7"/>
      <c r="H117" s="7"/>
    </row>
    <row r="118">
      <c r="E118" s="7"/>
      <c r="F118" s="7"/>
      <c r="G118" s="7"/>
      <c r="H118" s="7"/>
    </row>
    <row r="119">
      <c r="E119" s="7"/>
      <c r="F119" s="7"/>
      <c r="G119" s="7"/>
      <c r="H119" s="7"/>
    </row>
    <row r="120">
      <c r="E120" s="7"/>
      <c r="F120" s="7"/>
      <c r="G120" s="7"/>
      <c r="H120" s="7"/>
    </row>
    <row r="121">
      <c r="E121" s="7"/>
      <c r="F121" s="7"/>
      <c r="G121" s="7"/>
      <c r="H12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>
      <c r="A2" s="15" t="s">
        <v>239</v>
      </c>
      <c r="B2" s="15" t="s">
        <v>240</v>
      </c>
      <c r="C2" s="15" t="s">
        <v>241</v>
      </c>
      <c r="D2" s="15" t="s">
        <v>242</v>
      </c>
      <c r="E2" s="15" t="s">
        <v>243</v>
      </c>
      <c r="F2" s="15" t="s">
        <v>244</v>
      </c>
      <c r="G2" s="15" t="s">
        <v>245</v>
      </c>
      <c r="H2" s="15" t="s">
        <v>246</v>
      </c>
      <c r="I2" s="15" t="s">
        <v>247</v>
      </c>
      <c r="J2" s="15" t="s">
        <v>248</v>
      </c>
      <c r="K2" s="15" t="s">
        <v>249</v>
      </c>
      <c r="L2" s="15" t="s">
        <v>250</v>
      </c>
      <c r="M2" s="15" t="s">
        <v>251</v>
      </c>
    </row>
    <row r="3">
      <c r="A3" s="16" t="s">
        <v>252</v>
      </c>
      <c r="B3" s="16">
        <f>SUMIFS('Net Sales Amount'!$M$2:$M$112,'Net Sales Amount'!$N$2:$N$112,$A3,'Net Sales Amount'!$G$2:$G$112,B$2)</f>
        <v>675180</v>
      </c>
      <c r="C3" s="16">
        <f>SUMIFS('Net Sales Amount'!$M$2:$M$112,'Net Sales Amount'!$N$2:$N$112,$A3,'Net Sales Amount'!$G$2:$G$112,C$2)</f>
        <v>1071516</v>
      </c>
      <c r="D3" s="16">
        <f>SUMIFS('Net Sales Amount'!$M$2:$M$112,'Net Sales Amount'!$N$2:$N$112,$A3,'Net Sales Amount'!$G$2:$G$112,D$2)</f>
        <v>1034846</v>
      </c>
      <c r="E3" s="16">
        <f>SUMIFS('Net Sales Amount'!$M$2:$M$112,'Net Sales Amount'!$N$2:$N$112,$A3,'Net Sales Amount'!$G$2:$G$112,E$2)</f>
        <v>905400</v>
      </c>
      <c r="F3" s="16">
        <f>SUMIFS('Net Sales Amount'!$M$2:$M$112,'Net Sales Amount'!$N$2:$N$112,$A3,'Net Sales Amount'!$G$2:$G$112,F$2)</f>
        <v>449604</v>
      </c>
      <c r="G3" s="16">
        <f>SUMIFS('Net Sales Amount'!$M$2:$M$112,'Net Sales Amount'!$N$2:$N$112,$A3,'Net Sales Amount'!$G$2:$G$112,G$2)</f>
        <v>1736416</v>
      </c>
      <c r="H3" s="16">
        <f>SUMIFS('Net Sales Amount'!$M$2:$M$112,'Net Sales Amount'!$N$2:$N$112,$A3,'Net Sales Amount'!$G$2:$G$112,H$2)</f>
        <v>571140</v>
      </c>
      <c r="I3" s="16">
        <f>SUMIFS('Net Sales Amount'!$M$2:$M$112,'Net Sales Amount'!$N$2:$N$112,$A3,'Net Sales Amount'!$G$2:$G$112,I$2)</f>
        <v>2232016</v>
      </c>
      <c r="J3" s="16">
        <f>SUMIFS('Net Sales Amount'!$M$2:$M$112,'Net Sales Amount'!$N$2:$N$112,$A3,'Net Sales Amount'!$G$2:$G$112,J$2)</f>
        <v>784890</v>
      </c>
      <c r="K3" s="16">
        <f>SUMIFS('Net Sales Amount'!$M$2:$M$112,'Net Sales Amount'!$N$2:$N$112,$A3,'Net Sales Amount'!$G$2:$G$112,K$2)</f>
        <v>365085</v>
      </c>
      <c r="L3" s="16">
        <f>SUMIFS('Net Sales Amount'!$M$2:$M$112,'Net Sales Amount'!$N$2:$N$112,$A3,'Net Sales Amount'!$G$2:$G$112,L$2)</f>
        <v>1401359</v>
      </c>
      <c r="M3" s="16">
        <f>SUMIFS('Net Sales Amount'!$M$2:$M$112,'Net Sales Amount'!$N$2:$N$112,$A3,'Net Sales Amount'!$G$2:$G$112,M$2)</f>
        <v>286704</v>
      </c>
    </row>
    <row r="4">
      <c r="A4" s="16" t="s">
        <v>253</v>
      </c>
      <c r="B4" s="16">
        <f>SUMIFS('Net Sales Amount'!$M$2:$M$112,'Net Sales Amount'!$N$2:$N$112,$A4,'Net Sales Amount'!$G$2:$G$112,B$2)</f>
        <v>10376872</v>
      </c>
      <c r="C4" s="16">
        <f>SUMIFS('Net Sales Amount'!$M$2:$M$112,'Net Sales Amount'!$N$2:$N$112,$A4,'Net Sales Amount'!$G$2:$G$112,C$2)</f>
        <v>2814860</v>
      </c>
      <c r="D4" s="16">
        <f>SUMIFS('Net Sales Amount'!$M$2:$M$112,'Net Sales Amount'!$N$2:$N$112,$A4,'Net Sales Amount'!$G$2:$G$112,D$2)</f>
        <v>6446520</v>
      </c>
      <c r="E4" s="16">
        <f>SUMIFS('Net Sales Amount'!$M$2:$M$112,'Net Sales Amount'!$N$2:$N$112,$A4,'Net Sales Amount'!$G$2:$G$112,E$2)</f>
        <v>10363132</v>
      </c>
      <c r="F4" s="16">
        <f>SUMIFS('Net Sales Amount'!$M$2:$M$112,'Net Sales Amount'!$N$2:$N$112,$A4,'Net Sales Amount'!$G$2:$G$112,F$2)</f>
        <v>7051260</v>
      </c>
      <c r="G4" s="16">
        <f>SUMIFS('Net Sales Amount'!$M$2:$M$112,'Net Sales Amount'!$N$2:$N$112,$A4,'Net Sales Amount'!$G$2:$G$112,G$2)</f>
        <v>5088236</v>
      </c>
      <c r="H4" s="16">
        <f>SUMIFS('Net Sales Amount'!$M$2:$M$112,'Net Sales Amount'!$N$2:$N$112,$A4,'Net Sales Amount'!$G$2:$G$112,H$2)</f>
        <v>12182632</v>
      </c>
      <c r="I4" s="16">
        <f>SUMIFS('Net Sales Amount'!$M$2:$M$112,'Net Sales Amount'!$N$2:$N$112,$A4,'Net Sales Amount'!$G$2:$G$112,I$2)</f>
        <v>3591760</v>
      </c>
      <c r="J4" s="16">
        <f>SUMIFS('Net Sales Amount'!$M$2:$M$112,'Net Sales Amount'!$N$2:$N$112,$A4,'Net Sales Amount'!$G$2:$G$112,J$2)</f>
        <v>3027904</v>
      </c>
      <c r="K4" s="16">
        <f>SUMIFS('Net Sales Amount'!$M$2:$M$112,'Net Sales Amount'!$N$2:$N$112,$A4,'Net Sales Amount'!$G$2:$G$112,K$2)</f>
        <v>4313964</v>
      </c>
      <c r="L4" s="16">
        <f>SUMIFS('Net Sales Amount'!$M$2:$M$112,'Net Sales Amount'!$N$2:$N$112,$A4,'Net Sales Amount'!$G$2:$G$112,L$2)</f>
        <v>8881664</v>
      </c>
      <c r="M4" s="16">
        <f>SUMIFS('Net Sales Amount'!$M$2:$M$112,'Net Sales Amount'!$N$2:$N$112,$A4,'Net Sales Amount'!$G$2:$G$112,M$2)</f>
        <v>3872000</v>
      </c>
    </row>
    <row r="5">
      <c r="A5" s="16" t="s">
        <v>254</v>
      </c>
      <c r="B5" s="16">
        <f>SUMIFS('Net Sales Amount'!$M$2:$M$112,'Net Sales Amount'!$N$2:$N$112,$A5,'Net Sales Amount'!$G$2:$G$112,B$2)</f>
        <v>2028155</v>
      </c>
      <c r="C5" s="16">
        <f>SUMIFS('Net Sales Amount'!$M$2:$M$112,'Net Sales Amount'!$N$2:$N$112,$A5,'Net Sales Amount'!$G$2:$G$112,C$2)</f>
        <v>442152</v>
      </c>
      <c r="D5" s="16">
        <f>SUMIFS('Net Sales Amount'!$M$2:$M$112,'Net Sales Amount'!$N$2:$N$112,$A5,'Net Sales Amount'!$G$2:$G$112,D$2)</f>
        <v>1258296</v>
      </c>
      <c r="E5" s="16">
        <f>SUMIFS('Net Sales Amount'!$M$2:$M$112,'Net Sales Amount'!$N$2:$N$112,$A5,'Net Sales Amount'!$G$2:$G$112,E$2)</f>
        <v>1037088</v>
      </c>
      <c r="F5" s="16">
        <f>SUMIFS('Net Sales Amount'!$M$2:$M$112,'Net Sales Amount'!$N$2:$N$112,$A5,'Net Sales Amount'!$G$2:$G$112,F$2)</f>
        <v>1349912</v>
      </c>
      <c r="G5" s="16">
        <f>SUMIFS('Net Sales Amount'!$M$2:$M$112,'Net Sales Amount'!$N$2:$N$112,$A5,'Net Sales Amount'!$G$2:$G$112,G$2)</f>
        <v>1593024</v>
      </c>
      <c r="H5" s="16">
        <f>SUMIFS('Net Sales Amount'!$M$2:$M$112,'Net Sales Amount'!$N$2:$N$112,$A5,'Net Sales Amount'!$G$2:$G$112,H$2)</f>
        <v>1384188</v>
      </c>
      <c r="I5" s="16">
        <f>SUMIFS('Net Sales Amount'!$M$2:$M$112,'Net Sales Amount'!$N$2:$N$112,$A5,'Net Sales Amount'!$G$2:$G$112,I$2)</f>
        <v>2732098</v>
      </c>
      <c r="J5" s="16">
        <f>SUMIFS('Net Sales Amount'!$M$2:$M$112,'Net Sales Amount'!$N$2:$N$112,$A5,'Net Sales Amount'!$G$2:$G$112,J$2)</f>
        <v>1725431</v>
      </c>
      <c r="K5" s="16">
        <f>SUMIFS('Net Sales Amount'!$M$2:$M$112,'Net Sales Amount'!$N$2:$N$112,$A5,'Net Sales Amount'!$G$2:$G$112,K$2)</f>
        <v>1172796</v>
      </c>
      <c r="L5" s="16">
        <f>SUMIFS('Net Sales Amount'!$M$2:$M$112,'Net Sales Amount'!$N$2:$N$112,$A5,'Net Sales Amount'!$G$2:$G$112,L$2)</f>
        <v>545940</v>
      </c>
      <c r="M5" s="16">
        <f>SUMIFS('Net Sales Amount'!$M$2:$M$112,'Net Sales Amount'!$N$2:$N$112,$A5,'Net Sales Amount'!$G$2:$G$112,M$2)</f>
        <v>1726498</v>
      </c>
    </row>
    <row r="6">
      <c r="A6" s="16" t="s">
        <v>255</v>
      </c>
      <c r="B6" s="16">
        <f>SUMIFS('Net Sales Amount'!$M$2:$M$112,'Net Sales Amount'!$N$2:$N$112,$A6,'Net Sales Amount'!$G$2:$G$112,B$2)</f>
        <v>4157204</v>
      </c>
      <c r="C6" s="16">
        <f>SUMIFS('Net Sales Amount'!$M$2:$M$112,'Net Sales Amount'!$N$2:$N$112,$A6,'Net Sales Amount'!$G$2:$G$112,C$2)</f>
        <v>5436164</v>
      </c>
      <c r="D6" s="16">
        <f>SUMIFS('Net Sales Amount'!$M$2:$M$112,'Net Sales Amount'!$N$2:$N$112,$A6,'Net Sales Amount'!$G$2:$G$112,D$2)</f>
        <v>3250080</v>
      </c>
      <c r="E6" s="16">
        <f>SUMIFS('Net Sales Amount'!$M$2:$M$112,'Net Sales Amount'!$N$2:$N$112,$A6,'Net Sales Amount'!$G$2:$G$112,E$2)</f>
        <v>1735650</v>
      </c>
      <c r="F6" s="16">
        <f>SUMIFS('Net Sales Amount'!$M$2:$M$112,'Net Sales Amount'!$N$2:$N$112,$A6,'Net Sales Amount'!$G$2:$G$112,F$2)</f>
        <v>6478312</v>
      </c>
      <c r="G6" s="16">
        <f>SUMIFS('Net Sales Amount'!$M$2:$M$112,'Net Sales Amount'!$N$2:$N$112,$A6,'Net Sales Amount'!$G$2:$G$112,G$2)</f>
        <v>5998766</v>
      </c>
      <c r="H6" s="16">
        <f>SUMIFS('Net Sales Amount'!$M$2:$M$112,'Net Sales Amount'!$N$2:$N$112,$A6,'Net Sales Amount'!$G$2:$G$112,H$2)</f>
        <v>865740</v>
      </c>
      <c r="I6" s="16">
        <f>SUMIFS('Net Sales Amount'!$M$2:$M$112,'Net Sales Amount'!$N$2:$N$112,$A6,'Net Sales Amount'!$G$2:$G$112,I$2)</f>
        <v>4553555</v>
      </c>
      <c r="J6" s="16">
        <f>SUMIFS('Net Sales Amount'!$M$2:$M$112,'Net Sales Amount'!$N$2:$N$112,$A6,'Net Sales Amount'!$G$2:$G$112,J$2)</f>
        <v>4786364</v>
      </c>
      <c r="K6" s="16">
        <f>SUMIFS('Net Sales Amount'!$M$2:$M$112,'Net Sales Amount'!$N$2:$N$112,$A6,'Net Sales Amount'!$G$2:$G$112,K$2)</f>
        <v>3945650</v>
      </c>
      <c r="L6" s="16">
        <f>SUMIFS('Net Sales Amount'!$M$2:$M$112,'Net Sales Amount'!$N$2:$N$112,$A6,'Net Sales Amount'!$G$2:$G$112,L$2)</f>
        <v>8269554</v>
      </c>
      <c r="M6" s="16">
        <f>SUMIFS('Net Sales Amount'!$M$2:$M$112,'Net Sales Amount'!$N$2:$N$112,$A6,'Net Sales Amount'!$G$2:$G$112,M$2)</f>
        <v>3973665</v>
      </c>
    </row>
    <row r="7">
      <c r="A7" s="16" t="s">
        <v>256</v>
      </c>
      <c r="B7" s="16">
        <f>SUMIFS('Net Sales Amount'!$M$2:$M$112,'Net Sales Amount'!$N$2:$N$112,$A7,'Net Sales Amount'!$G$2:$G$112,B$2)</f>
        <v>3121035</v>
      </c>
      <c r="C7" s="16">
        <f>SUMIFS('Net Sales Amount'!$M$2:$M$112,'Net Sales Amount'!$N$2:$N$112,$A7,'Net Sales Amount'!$G$2:$G$112,C$2)</f>
        <v>4875968</v>
      </c>
      <c r="D7" s="16">
        <f>SUMIFS('Net Sales Amount'!$M$2:$M$112,'Net Sales Amount'!$N$2:$N$112,$A7,'Net Sales Amount'!$G$2:$G$112,D$2)</f>
        <v>2301120</v>
      </c>
      <c r="E7" s="16">
        <f>SUMIFS('Net Sales Amount'!$M$2:$M$112,'Net Sales Amount'!$N$2:$N$112,$A7,'Net Sales Amount'!$G$2:$G$112,E$2)</f>
        <v>1562045</v>
      </c>
      <c r="F7" s="16">
        <f>SUMIFS('Net Sales Amount'!$M$2:$M$112,'Net Sales Amount'!$N$2:$N$112,$A7,'Net Sales Amount'!$G$2:$G$112,F$2)</f>
        <v>2300368</v>
      </c>
      <c r="G7" s="16">
        <f>SUMIFS('Net Sales Amount'!$M$2:$M$112,'Net Sales Amount'!$N$2:$N$112,$A7,'Net Sales Amount'!$G$2:$G$112,G$2)</f>
        <v>2196216</v>
      </c>
      <c r="H7" s="16">
        <f>SUMIFS('Net Sales Amount'!$M$2:$M$112,'Net Sales Amount'!$N$2:$N$112,$A7,'Net Sales Amount'!$G$2:$G$112,H$2)</f>
        <v>2036040</v>
      </c>
      <c r="I7" s="16">
        <f>SUMIFS('Net Sales Amount'!$M$2:$M$112,'Net Sales Amount'!$N$2:$N$112,$A7,'Net Sales Amount'!$G$2:$G$112,I$2)</f>
        <v>1780454</v>
      </c>
      <c r="J7" s="16">
        <f>SUMIFS('Net Sales Amount'!$M$2:$M$112,'Net Sales Amount'!$N$2:$N$112,$A7,'Net Sales Amount'!$G$2:$G$112,J$2)</f>
        <v>2216896</v>
      </c>
      <c r="K7" s="16">
        <f>SUMIFS('Net Sales Amount'!$M$2:$M$112,'Net Sales Amount'!$N$2:$N$112,$A7,'Net Sales Amount'!$G$2:$G$112,K$2)</f>
        <v>1362060</v>
      </c>
      <c r="L7" s="16">
        <f>SUMIFS('Net Sales Amount'!$M$2:$M$112,'Net Sales Amount'!$N$2:$N$112,$A7,'Net Sales Amount'!$G$2:$G$112,L$2)</f>
        <v>3756287</v>
      </c>
      <c r="M7" s="16">
        <f>SUMIFS('Net Sales Amount'!$M$2:$M$112,'Net Sales Amount'!$N$2:$N$112,$A7,'Net Sales Amount'!$G$2:$G$112,M$2)</f>
        <v>1859320</v>
      </c>
    </row>
  </sheetData>
  <mergeCells count="1">
    <mergeCell ref="A1: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257</v>
      </c>
      <c r="F1" s="17" t="s">
        <v>258</v>
      </c>
      <c r="K1" s="17" t="s">
        <v>259</v>
      </c>
    </row>
    <row r="2">
      <c r="A2" s="18" t="s">
        <v>239</v>
      </c>
      <c r="B2" s="19" t="s">
        <v>260</v>
      </c>
      <c r="C2" s="19" t="s">
        <v>261</v>
      </c>
      <c r="D2" s="19" t="s">
        <v>262</v>
      </c>
      <c r="E2" s="19" t="s">
        <v>263</v>
      </c>
      <c r="F2" s="18" t="s">
        <v>239</v>
      </c>
      <c r="G2" s="19" t="s">
        <v>260</v>
      </c>
      <c r="H2" s="19" t="s">
        <v>261</v>
      </c>
      <c r="I2" s="19" t="s">
        <v>262</v>
      </c>
      <c r="J2" s="19" t="s">
        <v>263</v>
      </c>
      <c r="K2" s="18" t="s">
        <v>239</v>
      </c>
      <c r="L2" s="19" t="s">
        <v>260</v>
      </c>
      <c r="M2" s="19" t="s">
        <v>261</v>
      </c>
      <c r="N2" s="19" t="s">
        <v>262</v>
      </c>
      <c r="O2" s="19" t="s">
        <v>263</v>
      </c>
    </row>
    <row r="3">
      <c r="A3" s="16" t="s">
        <v>252</v>
      </c>
      <c r="B3" s="20">
        <v>2850000.0</v>
      </c>
      <c r="C3" s="20">
        <v>140000.0</v>
      </c>
      <c r="D3" s="20">
        <v>2140000.0</v>
      </c>
      <c r="E3" s="20">
        <v>6190000.0</v>
      </c>
      <c r="F3" s="16" t="s">
        <v>252</v>
      </c>
      <c r="G3" s="16">
        <f>SUM('Monthly Net Sales'!B3:D3)</f>
        <v>2781542</v>
      </c>
      <c r="H3" s="16">
        <f>SUM('Monthly Net Sales'!E3:G3)</f>
        <v>3091420</v>
      </c>
      <c r="I3" s="16">
        <f>SUM('Monthly Net Sales'!H3:J3)</f>
        <v>3588046</v>
      </c>
      <c r="J3" s="16">
        <f>SUM('Monthly Net Sales'!K3:M3)</f>
        <v>2053148</v>
      </c>
      <c r="K3" s="16" t="s">
        <v>252</v>
      </c>
      <c r="L3" s="16">
        <f t="shared" ref="L3:O3" si="1">G3-B3</f>
        <v>-68458</v>
      </c>
      <c r="M3" s="16">
        <f t="shared" si="1"/>
        <v>2951420</v>
      </c>
      <c r="N3" s="16">
        <f t="shared" si="1"/>
        <v>1448046</v>
      </c>
      <c r="O3" s="16">
        <f t="shared" si="1"/>
        <v>-4136852</v>
      </c>
    </row>
    <row r="4">
      <c r="A4" s="16" t="s">
        <v>253</v>
      </c>
      <c r="B4" s="20">
        <v>7890000.0</v>
      </c>
      <c r="C4" s="20">
        <v>3.0E7</v>
      </c>
      <c r="D4" s="20">
        <v>5110000.0</v>
      </c>
      <c r="E4" s="20">
        <v>2840000.0</v>
      </c>
      <c r="F4" s="16" t="s">
        <v>253</v>
      </c>
      <c r="G4" s="16">
        <f>SUM('Monthly Net Sales'!B4:D4)</f>
        <v>19638252</v>
      </c>
      <c r="H4" s="16">
        <f>SUM('Monthly Net Sales'!E4:G4)</f>
        <v>22502628</v>
      </c>
      <c r="I4" s="16">
        <f>SUM('Monthly Net Sales'!H4:J4)</f>
        <v>18802296</v>
      </c>
      <c r="J4" s="16">
        <f>SUM('Monthly Net Sales'!K4:M4)</f>
        <v>17067628</v>
      </c>
      <c r="K4" s="16" t="s">
        <v>253</v>
      </c>
      <c r="L4" s="16">
        <f t="shared" ref="L4:O4" si="2">G4-B4</f>
        <v>11748252</v>
      </c>
      <c r="M4" s="16">
        <f t="shared" si="2"/>
        <v>-7497372</v>
      </c>
      <c r="N4" s="16">
        <f t="shared" si="2"/>
        <v>13692296</v>
      </c>
      <c r="O4" s="16">
        <f t="shared" si="2"/>
        <v>14227628</v>
      </c>
    </row>
    <row r="5">
      <c r="A5" s="16" t="s">
        <v>254</v>
      </c>
      <c r="B5" s="20">
        <v>2630000.0</v>
      </c>
      <c r="C5" s="20">
        <v>430000.0</v>
      </c>
      <c r="D5" s="20">
        <v>1380000.0</v>
      </c>
      <c r="E5" s="20">
        <v>9530000.0</v>
      </c>
      <c r="F5" s="16" t="s">
        <v>254</v>
      </c>
      <c r="G5" s="16">
        <f>SUM('Monthly Net Sales'!B5:D5)</f>
        <v>3728603</v>
      </c>
      <c r="H5" s="16">
        <f>SUM('Monthly Net Sales'!E5:G5)</f>
        <v>3980024</v>
      </c>
      <c r="I5" s="16">
        <f>SUM('Monthly Net Sales'!H5:J5)</f>
        <v>5841717</v>
      </c>
      <c r="J5" s="16">
        <f>SUM('Monthly Net Sales'!K5:M5)</f>
        <v>3445234</v>
      </c>
      <c r="K5" s="16" t="s">
        <v>254</v>
      </c>
      <c r="L5" s="16">
        <f t="shared" ref="L5:O5" si="3">G5-B5</f>
        <v>1098603</v>
      </c>
      <c r="M5" s="16">
        <f t="shared" si="3"/>
        <v>3550024</v>
      </c>
      <c r="N5" s="16">
        <f t="shared" si="3"/>
        <v>4461717</v>
      </c>
      <c r="O5" s="16">
        <f t="shared" si="3"/>
        <v>-6084766</v>
      </c>
    </row>
    <row r="6">
      <c r="A6" s="16" t="s">
        <v>255</v>
      </c>
      <c r="B6" s="20">
        <v>3970000.0</v>
      </c>
      <c r="C6" s="20">
        <v>2180000.0</v>
      </c>
      <c r="D6" s="20">
        <v>6510000.0</v>
      </c>
      <c r="E6" s="20">
        <v>9950000.0</v>
      </c>
      <c r="F6" s="16" t="s">
        <v>255</v>
      </c>
      <c r="G6" s="16">
        <f>SUM('Monthly Net Sales'!B6:D6)</f>
        <v>12843448</v>
      </c>
      <c r="H6" s="16">
        <f>SUM('Monthly Net Sales'!E6:G6)</f>
        <v>14212728</v>
      </c>
      <c r="I6" s="16">
        <f>SUM('Monthly Net Sales'!H6:J6)</f>
        <v>10205659</v>
      </c>
      <c r="J6" s="16">
        <f>SUM('Monthly Net Sales'!K6:M6)</f>
        <v>16188869</v>
      </c>
      <c r="K6" s="16" t="s">
        <v>255</v>
      </c>
      <c r="L6" s="16">
        <f t="shared" ref="L6:O6" si="4">G6-B6</f>
        <v>8873448</v>
      </c>
      <c r="M6" s="16">
        <f t="shared" si="4"/>
        <v>12032728</v>
      </c>
      <c r="N6" s="16">
        <f t="shared" si="4"/>
        <v>3695659</v>
      </c>
      <c r="O6" s="16">
        <f t="shared" si="4"/>
        <v>6238869</v>
      </c>
    </row>
    <row r="7">
      <c r="A7" s="16" t="s">
        <v>256</v>
      </c>
      <c r="B7" s="20">
        <v>6030000.0</v>
      </c>
      <c r="C7" s="20">
        <v>6910000.0</v>
      </c>
      <c r="D7" s="20">
        <v>7500000.0</v>
      </c>
      <c r="E7" s="20">
        <v>3510000.0</v>
      </c>
      <c r="F7" s="16" t="s">
        <v>256</v>
      </c>
      <c r="G7" s="16">
        <f>SUM('Monthly Net Sales'!B7:D7)</f>
        <v>10298123</v>
      </c>
      <c r="H7" s="16">
        <f>SUM('Monthly Net Sales'!E7:G7)</f>
        <v>6058629</v>
      </c>
      <c r="I7" s="16">
        <f>SUM('Monthly Net Sales'!H7:J7)</f>
        <v>6033390</v>
      </c>
      <c r="J7" s="16">
        <f>SUM('Monthly Net Sales'!K7:M7)</f>
        <v>6977667</v>
      </c>
      <c r="K7" s="16" t="s">
        <v>256</v>
      </c>
      <c r="L7" s="16">
        <f t="shared" ref="L7:O7" si="5">G7-B7</f>
        <v>4268123</v>
      </c>
      <c r="M7" s="16">
        <f t="shared" si="5"/>
        <v>-851371</v>
      </c>
      <c r="N7" s="16">
        <f t="shared" si="5"/>
        <v>-1466610</v>
      </c>
      <c r="O7" s="16">
        <f t="shared" si="5"/>
        <v>3467667</v>
      </c>
    </row>
  </sheetData>
  <mergeCells count="3">
    <mergeCell ref="A1:E1"/>
    <mergeCell ref="F1:J1"/>
    <mergeCell ref="K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5" max="5" width="16.0"/>
    <col customWidth="1" min="6" max="6" width="35.0"/>
  </cols>
  <sheetData>
    <row r="1">
      <c r="A1" s="21" t="s">
        <v>3</v>
      </c>
      <c r="B1" s="21" t="s">
        <v>264</v>
      </c>
      <c r="C1" s="21" t="s">
        <v>265</v>
      </c>
    </row>
    <row r="2">
      <c r="A2" s="16" t="s">
        <v>22</v>
      </c>
      <c r="B2" s="20" t="s">
        <v>266</v>
      </c>
      <c r="C2" s="22">
        <v>0.1</v>
      </c>
    </row>
    <row r="3">
      <c r="A3" s="20" t="s">
        <v>15</v>
      </c>
      <c r="B3" s="20" t="s">
        <v>267</v>
      </c>
      <c r="C3" s="22">
        <v>0.12</v>
      </c>
    </row>
    <row r="4">
      <c r="A4" s="20" t="s">
        <v>11</v>
      </c>
      <c r="B4" s="20" t="s">
        <v>268</v>
      </c>
      <c r="C4" s="22">
        <v>0.06</v>
      </c>
    </row>
    <row r="5">
      <c r="A5" s="20" t="s">
        <v>28</v>
      </c>
      <c r="B5" s="20" t="s">
        <v>269</v>
      </c>
      <c r="C5" s="22">
        <v>0.15</v>
      </c>
    </row>
    <row r="6">
      <c r="A6" s="20" t="s">
        <v>56</v>
      </c>
      <c r="B6" s="20" t="s">
        <v>270</v>
      </c>
      <c r="C6" s="22">
        <v>0.05</v>
      </c>
    </row>
    <row r="7">
      <c r="A7" s="20" t="s">
        <v>7</v>
      </c>
      <c r="B7" s="20" t="s">
        <v>271</v>
      </c>
      <c r="C7" s="22">
        <v>0.08</v>
      </c>
    </row>
    <row r="8">
      <c r="B8" s="23"/>
      <c r="C8" s="24"/>
    </row>
    <row r="9">
      <c r="B9" s="23"/>
      <c r="C9" s="24"/>
    </row>
    <row r="10">
      <c r="B10" s="23"/>
      <c r="C10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25" t="s">
        <v>1</v>
      </c>
      <c r="B1" s="25" t="s">
        <v>239</v>
      </c>
      <c r="C1" s="26" t="s">
        <v>272</v>
      </c>
    </row>
    <row r="2">
      <c r="A2" s="27" t="s">
        <v>13</v>
      </c>
      <c r="B2" s="27" t="s">
        <v>252</v>
      </c>
      <c r="C2" s="28">
        <v>1100.0</v>
      </c>
    </row>
    <row r="3">
      <c r="A3" s="27" t="s">
        <v>63</v>
      </c>
      <c r="B3" s="27" t="s">
        <v>253</v>
      </c>
      <c r="C3" s="29">
        <v>6800.0</v>
      </c>
    </row>
    <row r="4">
      <c r="A4" s="27" t="s">
        <v>24</v>
      </c>
      <c r="B4" s="27" t="s">
        <v>254</v>
      </c>
      <c r="C4" s="29">
        <v>1900.0</v>
      </c>
    </row>
    <row r="5">
      <c r="A5" s="27" t="s">
        <v>30</v>
      </c>
      <c r="B5" s="27" t="s">
        <v>252</v>
      </c>
      <c r="C5" s="29">
        <v>900.0</v>
      </c>
    </row>
    <row r="6">
      <c r="A6" s="27" t="s">
        <v>54</v>
      </c>
      <c r="B6" s="27" t="s">
        <v>254</v>
      </c>
      <c r="C6" s="28">
        <v>1200.0</v>
      </c>
    </row>
    <row r="7">
      <c r="A7" s="27" t="s">
        <v>9</v>
      </c>
      <c r="B7" s="27" t="s">
        <v>255</v>
      </c>
      <c r="C7" s="29">
        <v>7300.0</v>
      </c>
    </row>
    <row r="8">
      <c r="A8" s="27" t="s">
        <v>76</v>
      </c>
      <c r="B8" s="27" t="s">
        <v>253</v>
      </c>
      <c r="C8" s="28">
        <v>8800.0</v>
      </c>
    </row>
    <row r="9">
      <c r="A9" s="27" t="s">
        <v>58</v>
      </c>
      <c r="B9" s="27" t="s">
        <v>255</v>
      </c>
      <c r="C9" s="29">
        <v>3000.0</v>
      </c>
    </row>
    <row r="10">
      <c r="A10" s="27" t="s">
        <v>5</v>
      </c>
      <c r="B10" s="27" t="s">
        <v>256</v>
      </c>
      <c r="C10" s="29">
        <v>4700.0</v>
      </c>
    </row>
    <row r="11">
      <c r="A11" s="27" t="s">
        <v>41</v>
      </c>
      <c r="B11" s="27" t="s">
        <v>254</v>
      </c>
      <c r="C11" s="29">
        <v>900.0</v>
      </c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  <row r="993">
      <c r="C993" s="30"/>
    </row>
    <row r="994">
      <c r="C994" s="30"/>
    </row>
    <row r="995">
      <c r="C995" s="30"/>
    </row>
    <row r="996">
      <c r="C996" s="30"/>
    </row>
    <row r="997">
      <c r="C997" s="30"/>
    </row>
    <row r="998">
      <c r="C998" s="30"/>
    </row>
    <row r="999">
      <c r="C999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</cols>
  <sheetData>
    <row r="1">
      <c r="A1" s="31" t="s">
        <v>273</v>
      </c>
      <c r="B1" s="31" t="s">
        <v>274</v>
      </c>
      <c r="C1" s="17" t="s">
        <v>275</v>
      </c>
    </row>
    <row r="2">
      <c r="A2" s="32"/>
      <c r="B2" s="32"/>
      <c r="C2" s="31" t="s">
        <v>252</v>
      </c>
      <c r="D2" s="31" t="s">
        <v>253</v>
      </c>
      <c r="E2" s="31" t="s">
        <v>254</v>
      </c>
      <c r="F2" s="31" t="s">
        <v>255</v>
      </c>
      <c r="G2" s="31" t="s">
        <v>256</v>
      </c>
      <c r="H2" s="31" t="s">
        <v>276</v>
      </c>
    </row>
    <row r="3">
      <c r="A3" s="20" t="s">
        <v>277</v>
      </c>
      <c r="B3" s="33" t="s">
        <v>278</v>
      </c>
      <c r="C3" s="16">
        <v>3105000.0</v>
      </c>
      <c r="D3" s="16">
        <v>2340000.0</v>
      </c>
      <c r="E3" s="16">
        <v>1590000.0</v>
      </c>
      <c r="F3" s="16">
        <v>2350000.0</v>
      </c>
      <c r="G3" s="16">
        <v>2380000.0</v>
      </c>
      <c r="H3" s="16">
        <v>2970000.0</v>
      </c>
    </row>
    <row r="4">
      <c r="A4" s="23" t="s">
        <v>279</v>
      </c>
      <c r="B4" s="33" t="s">
        <v>280</v>
      </c>
      <c r="C4" s="16">
        <v>2305000.0</v>
      </c>
      <c r="D4" s="16">
        <v>1480000.0</v>
      </c>
      <c r="E4" s="16">
        <v>1880000.0</v>
      </c>
      <c r="F4" s="16">
        <v>1280000.0</v>
      </c>
      <c r="G4" s="16">
        <v>1690000.0</v>
      </c>
      <c r="H4" s="16">
        <v>2740000.0</v>
      </c>
    </row>
    <row r="5">
      <c r="A5" s="20" t="s">
        <v>281</v>
      </c>
      <c r="B5" s="33" t="s">
        <v>282</v>
      </c>
      <c r="C5" s="16">
        <v>2035000.0</v>
      </c>
      <c r="D5" s="16">
        <v>1970000.0</v>
      </c>
      <c r="E5" s="16">
        <v>2530000.0</v>
      </c>
      <c r="F5" s="16">
        <v>1620000.0</v>
      </c>
      <c r="G5" s="16">
        <v>1200000.0</v>
      </c>
      <c r="H5" s="16">
        <v>2470000.0</v>
      </c>
    </row>
    <row r="6">
      <c r="A6" s="20" t="s">
        <v>283</v>
      </c>
      <c r="B6" s="33" t="s">
        <v>284</v>
      </c>
      <c r="C6" s="16">
        <v>3295000.0</v>
      </c>
      <c r="D6" s="16">
        <v>2970000.0</v>
      </c>
      <c r="E6" s="16">
        <v>2610000.0</v>
      </c>
      <c r="F6" s="16">
        <v>1030000.0</v>
      </c>
      <c r="G6" s="16">
        <v>1000000.0</v>
      </c>
      <c r="H6" s="16">
        <v>2700000.0</v>
      </c>
    </row>
    <row r="7">
      <c r="A7" s="20" t="s">
        <v>285</v>
      </c>
      <c r="B7" s="33" t="s">
        <v>286</v>
      </c>
      <c r="C7" s="16">
        <v>2435000.0</v>
      </c>
      <c r="D7" s="16">
        <v>1610000.0</v>
      </c>
      <c r="E7" s="16">
        <v>1270000.0</v>
      </c>
      <c r="F7" s="16">
        <v>1670000.0</v>
      </c>
      <c r="G7" s="16">
        <v>1640000.0</v>
      </c>
      <c r="H7" s="16">
        <v>2520000.0</v>
      </c>
    </row>
    <row r="8">
      <c r="A8" s="20" t="s">
        <v>287</v>
      </c>
      <c r="B8" s="33" t="s">
        <v>288</v>
      </c>
      <c r="C8" s="16">
        <v>3285000.0</v>
      </c>
      <c r="D8" s="16">
        <v>2050000.0</v>
      </c>
      <c r="E8" s="16">
        <v>2880000.0</v>
      </c>
      <c r="F8" s="16">
        <v>2140000.0</v>
      </c>
      <c r="G8" s="16">
        <v>2840000.0</v>
      </c>
      <c r="H8" s="16">
        <v>2340000.0</v>
      </c>
    </row>
    <row r="9">
      <c r="A9" s="20" t="s">
        <v>289</v>
      </c>
      <c r="B9" s="33" t="s">
        <v>290</v>
      </c>
      <c r="C9" s="16">
        <v>1765000.0</v>
      </c>
      <c r="D9" s="16">
        <v>1270000.0</v>
      </c>
      <c r="E9" s="16">
        <v>2850000.0</v>
      </c>
      <c r="F9" s="16">
        <v>2570000.0</v>
      </c>
      <c r="G9" s="16">
        <v>2660000.0</v>
      </c>
      <c r="H9" s="16">
        <v>2960000.0</v>
      </c>
    </row>
    <row r="10">
      <c r="A10" s="20" t="s">
        <v>291</v>
      </c>
      <c r="B10" s="33" t="s">
        <v>292</v>
      </c>
      <c r="C10" s="16">
        <v>2765000.0</v>
      </c>
      <c r="D10" s="16">
        <v>2900000.0</v>
      </c>
      <c r="E10" s="16">
        <v>2360000.0</v>
      </c>
      <c r="F10" s="16">
        <v>2440000.0</v>
      </c>
      <c r="G10" s="16">
        <v>2120000.0</v>
      </c>
      <c r="H10" s="16">
        <v>1620000.0</v>
      </c>
    </row>
    <row r="11">
      <c r="A11" s="20" t="s">
        <v>293</v>
      </c>
      <c r="B11" s="33" t="s">
        <v>294</v>
      </c>
      <c r="C11" s="16">
        <v>2760000.0</v>
      </c>
      <c r="D11" s="16">
        <v>2000000.0</v>
      </c>
      <c r="E11" s="16">
        <v>1810000.0</v>
      </c>
      <c r="F11" s="16">
        <v>2080000.0</v>
      </c>
      <c r="G11" s="16">
        <v>1400000.0</v>
      </c>
      <c r="H11" s="16">
        <v>1140000.0</v>
      </c>
    </row>
  </sheetData>
  <mergeCells count="3">
    <mergeCell ref="A1:A2"/>
    <mergeCell ref="B1:B2"/>
    <mergeCell ref="C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2.13"/>
    <col customWidth="1" min="3" max="3" width="11.88"/>
    <col customWidth="1" min="4" max="4" width="11.13"/>
    <col customWidth="1" min="5" max="5" width="11.75"/>
  </cols>
  <sheetData>
    <row r="1">
      <c r="A1" s="17" t="s">
        <v>257</v>
      </c>
    </row>
    <row r="2">
      <c r="A2" s="34" t="s">
        <v>239</v>
      </c>
      <c r="B2" s="19" t="s">
        <v>260</v>
      </c>
      <c r="C2" s="19" t="s">
        <v>261</v>
      </c>
      <c r="D2" s="19" t="s">
        <v>262</v>
      </c>
      <c r="E2" s="19" t="s">
        <v>263</v>
      </c>
    </row>
    <row r="3">
      <c r="A3" s="16" t="s">
        <v>252</v>
      </c>
      <c r="B3" s="20">
        <v>2850000.0</v>
      </c>
      <c r="C3" s="20">
        <v>140000.0</v>
      </c>
      <c r="D3" s="20">
        <v>2140000.0</v>
      </c>
      <c r="E3" s="20">
        <v>6190000.0</v>
      </c>
    </row>
    <row r="4">
      <c r="A4" s="16" t="s">
        <v>253</v>
      </c>
      <c r="B4" s="20">
        <v>7890000.0</v>
      </c>
      <c r="C4" s="20">
        <v>3.0E7</v>
      </c>
      <c r="D4" s="20">
        <v>5110000.0</v>
      </c>
      <c r="E4" s="20">
        <v>2840000.0</v>
      </c>
    </row>
    <row r="5">
      <c r="A5" s="16" t="s">
        <v>254</v>
      </c>
      <c r="B5" s="20">
        <v>2630000.0</v>
      </c>
      <c r="C5" s="20">
        <v>430000.0</v>
      </c>
      <c r="D5" s="20">
        <v>1380000.0</v>
      </c>
      <c r="E5" s="20">
        <v>9530000.0</v>
      </c>
    </row>
    <row r="6">
      <c r="A6" s="16" t="s">
        <v>255</v>
      </c>
      <c r="B6" s="20">
        <v>3970000.0</v>
      </c>
      <c r="C6" s="20">
        <v>2180000.0</v>
      </c>
      <c r="D6" s="20">
        <v>6510000.0</v>
      </c>
      <c r="E6" s="20">
        <v>9950000.0</v>
      </c>
    </row>
    <row r="7">
      <c r="A7" s="16" t="s">
        <v>256</v>
      </c>
      <c r="B7" s="20">
        <v>6030000.0</v>
      </c>
      <c r="C7" s="20">
        <v>6910000.0</v>
      </c>
      <c r="D7" s="20">
        <v>7500000.0</v>
      </c>
      <c r="E7" s="20">
        <v>3510000.0</v>
      </c>
    </row>
    <row r="8">
      <c r="C8" s="35"/>
      <c r="D8" s="35"/>
    </row>
    <row r="9">
      <c r="D9" s="35"/>
    </row>
    <row r="10">
      <c r="D10" s="35"/>
    </row>
    <row r="11">
      <c r="D11" s="35"/>
    </row>
    <row r="12">
      <c r="D12" s="35"/>
    </row>
    <row r="13">
      <c r="D13" s="35"/>
    </row>
    <row r="14">
      <c r="D14" s="35"/>
    </row>
    <row r="15">
      <c r="D15" s="35"/>
    </row>
    <row r="16">
      <c r="D16" s="35"/>
    </row>
    <row r="17">
      <c r="D17" s="35"/>
    </row>
    <row r="18">
      <c r="D18" s="35"/>
    </row>
    <row r="19">
      <c r="D19" s="35"/>
    </row>
    <row r="20">
      <c r="D20" s="35"/>
    </row>
    <row r="21">
      <c r="D21" s="35"/>
    </row>
    <row r="22">
      <c r="D22" s="35"/>
    </row>
    <row r="23">
      <c r="D23" s="35"/>
    </row>
    <row r="24">
      <c r="D24" s="35"/>
    </row>
    <row r="25">
      <c r="D25" s="35"/>
    </row>
    <row r="26">
      <c r="D26" s="35"/>
    </row>
    <row r="27">
      <c r="D27" s="35"/>
    </row>
    <row r="28">
      <c r="D28" s="35"/>
    </row>
    <row r="29">
      <c r="D29" s="35"/>
    </row>
    <row r="30">
      <c r="D30" s="35"/>
    </row>
    <row r="31">
      <c r="D31" s="35"/>
    </row>
    <row r="32">
      <c r="D32" s="35"/>
    </row>
    <row r="33">
      <c r="D33" s="35"/>
    </row>
    <row r="34">
      <c r="D34" s="35"/>
    </row>
    <row r="35">
      <c r="D35" s="35"/>
    </row>
    <row r="36">
      <c r="D36" s="35"/>
    </row>
    <row r="37">
      <c r="D37" s="35"/>
    </row>
    <row r="38">
      <c r="D38" s="35"/>
    </row>
    <row r="39">
      <c r="D39" s="35"/>
    </row>
    <row r="40">
      <c r="D40" s="35"/>
    </row>
    <row r="41">
      <c r="D41" s="35"/>
    </row>
    <row r="42">
      <c r="D42" s="35"/>
    </row>
    <row r="43">
      <c r="D43" s="35"/>
    </row>
  </sheetData>
  <mergeCells count="1">
    <mergeCell ref="A1:E1"/>
  </mergeCells>
  <drawing r:id="rId1"/>
</worksheet>
</file>