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data" sheetId="1" r:id="rId4"/>
    <sheet state="visible" name="Customer_Tab" sheetId="2" r:id="rId5"/>
    <sheet state="visible" name="Product_Tab" sheetId="3" r:id="rId6"/>
    <sheet state="visible" name="Quarterly Target" sheetId="4" r:id="rId7"/>
    <sheet state="visible" name="Manager_Target" sheetId="5" r:id="rId8"/>
    <sheet state="visible" name="Net Sales Amount" sheetId="6" r:id="rId9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<sst xmlns="http://schemas.openxmlformats.org/spreadsheetml/2006/main" count="4808" uniqueCount="1248">
  <si>
    <t>Transaction id</t>
  </si>
  <si>
    <t>Product ID</t>
  </si>
  <si>
    <t>Transaction Comment</t>
  </si>
  <si>
    <t>Customer ID</t>
  </si>
  <si>
    <t>#001</t>
  </si>
  <si>
    <t>Prod001</t>
  </si>
  <si>
    <t>226_January_18_ABC0023</t>
  </si>
  <si>
    <t>Cust0023</t>
  </si>
  <si>
    <t>#002</t>
  </si>
  <si>
    <t>260_January_18_ABC0024</t>
  </si>
  <si>
    <t>Cust0024</t>
  </si>
  <si>
    <t>#003</t>
  </si>
  <si>
    <t>425_January_27_ABC0025</t>
  </si>
  <si>
    <t>Cust0025</t>
  </si>
  <si>
    <t>#004</t>
  </si>
  <si>
    <t>274_January_30_ABC0026</t>
  </si>
  <si>
    <t>Cust0026</t>
  </si>
  <si>
    <t>#005</t>
  </si>
  <si>
    <t>212_January_1_ABC0027</t>
  </si>
  <si>
    <t>Cust0027</t>
  </si>
  <si>
    <t>#006</t>
  </si>
  <si>
    <t>363_January_12_ABC0028</t>
  </si>
  <si>
    <t>Cust0028</t>
  </si>
  <si>
    <t>#007</t>
  </si>
  <si>
    <t>256_January_15_ABC0029</t>
  </si>
  <si>
    <t>Cust0029</t>
  </si>
  <si>
    <t>#008</t>
  </si>
  <si>
    <t>338_January_28_ABC0030</t>
  </si>
  <si>
    <t>Cust0030</t>
  </si>
  <si>
    <t>#009</t>
  </si>
  <si>
    <t>393_January_6_ABC0031</t>
  </si>
  <si>
    <t>Cust0031</t>
  </si>
  <si>
    <t>#010</t>
  </si>
  <si>
    <t>Prod002</t>
  </si>
  <si>
    <t>276_January_30_ABC0023</t>
  </si>
  <si>
    <t>#011</t>
  </si>
  <si>
    <t>492_January_8_ABC0024</t>
  </si>
  <si>
    <t>#012</t>
  </si>
  <si>
    <t>395_January_21_ABC0025</t>
  </si>
  <si>
    <t>#013</t>
  </si>
  <si>
    <t>442_January_10_ABC0026</t>
  </si>
  <si>
    <t>#014</t>
  </si>
  <si>
    <t>354_January_15_ABC0027</t>
  </si>
  <si>
    <t>#015</t>
  </si>
  <si>
    <t>477_January_22_ABC0028</t>
  </si>
  <si>
    <t>#016</t>
  </si>
  <si>
    <t>418_January_5_ABC0029</t>
  </si>
  <si>
    <t>#017</t>
  </si>
  <si>
    <t>205_January_16_ABC0030</t>
  </si>
  <si>
    <t>#018</t>
  </si>
  <si>
    <t>495_January_12_ABC0031</t>
  </si>
  <si>
    <t>#019</t>
  </si>
  <si>
    <t>275_January_28_ABC0023</t>
  </si>
  <si>
    <t>#020</t>
  </si>
  <si>
    <t>356_January_11_ABC0024</t>
  </si>
  <si>
    <t>#021</t>
  </si>
  <si>
    <t>370_January_18_ABC0025</t>
  </si>
  <si>
    <t>#022</t>
  </si>
  <si>
    <t>355_January_1_ABC0026</t>
  </si>
  <si>
    <t>#023</t>
  </si>
  <si>
    <t>Prod003</t>
  </si>
  <si>
    <t>248_January_2_ABC0023</t>
  </si>
  <si>
    <t>#024</t>
  </si>
  <si>
    <t>293_January_2_ABC0024</t>
  </si>
  <si>
    <t>#025</t>
  </si>
  <si>
    <t>225_January_18_ABC0025</t>
  </si>
  <si>
    <t>#026</t>
  </si>
  <si>
    <t>212_January_2_ABC0026</t>
  </si>
  <si>
    <t>#027</t>
  </si>
  <si>
    <t>252_January_19_ABC0027</t>
  </si>
  <si>
    <t>#028</t>
  </si>
  <si>
    <t>306_January_22_ABC0028</t>
  </si>
  <si>
    <t>#029</t>
  </si>
  <si>
    <t>272_January_25_ABC0029</t>
  </si>
  <si>
    <t>#030</t>
  </si>
  <si>
    <t>371_January_4_ABC0030</t>
  </si>
  <si>
    <t>#031</t>
  </si>
  <si>
    <t>365_January_5_ABC0031</t>
  </si>
  <si>
    <t>#032</t>
  </si>
  <si>
    <t>260_January_30_ABC0029</t>
  </si>
  <si>
    <t>#033</t>
  </si>
  <si>
    <t>224_January_9_ABC0030</t>
  </si>
  <si>
    <t>#034</t>
  </si>
  <si>
    <t>307_January_22_ABC0031</t>
  </si>
  <si>
    <t>#035</t>
  </si>
  <si>
    <t>262_January_27_ABC0027</t>
  </si>
  <si>
    <t>#036</t>
  </si>
  <si>
    <t>345_January_14_ABC0026</t>
  </si>
  <si>
    <t>#037</t>
  </si>
  <si>
    <t>291_January_1_ABC0023</t>
  </si>
  <si>
    <t>#038</t>
  </si>
  <si>
    <t>Prod004</t>
  </si>
  <si>
    <t>269_January_28_ABC0023</t>
  </si>
  <si>
    <t>#039</t>
  </si>
  <si>
    <t>Prod005</t>
  </si>
  <si>
    <t>295_January_16_ABC0023</t>
  </si>
  <si>
    <t>#040</t>
  </si>
  <si>
    <t>Prod006</t>
  </si>
  <si>
    <t>346_January_29_ABC0023</t>
  </si>
  <si>
    <t>#041</t>
  </si>
  <si>
    <t>Prod007</t>
  </si>
  <si>
    <t>357_January_21_ABC0023</t>
  </si>
  <si>
    <t>#042</t>
  </si>
  <si>
    <t>Prod008</t>
  </si>
  <si>
    <t>418_January_11_ABC0023</t>
  </si>
  <si>
    <t>#043</t>
  </si>
  <si>
    <t>Prod009</t>
  </si>
  <si>
    <t>441_January_30_ABC0023</t>
  </si>
  <si>
    <t>#044</t>
  </si>
  <si>
    <t>Prod010</t>
  </si>
  <si>
    <t>322_January_18_ABC0023</t>
  </si>
  <si>
    <t>#045</t>
  </si>
  <si>
    <t>Prod011</t>
  </si>
  <si>
    <t>335_January_21_ABC0023</t>
  </si>
  <si>
    <t>#046</t>
  </si>
  <si>
    <t>Prod012</t>
  </si>
  <si>
    <t>278_January_22_ABC0023</t>
  </si>
  <si>
    <t>#047</t>
  </si>
  <si>
    <t>Prod013</t>
  </si>
  <si>
    <t>429_January_4_ABC0023</t>
  </si>
  <si>
    <t>#048</t>
  </si>
  <si>
    <t>Prod014</t>
  </si>
  <si>
    <t>285_January_11_ABC0023</t>
  </si>
  <si>
    <t>#049</t>
  </si>
  <si>
    <t>Prod015</t>
  </si>
  <si>
    <t>405_January_30_ABC0023</t>
  </si>
  <si>
    <t>#050</t>
  </si>
  <si>
    <t>411_January_29_ABC0023</t>
  </si>
  <si>
    <t>#051</t>
  </si>
  <si>
    <t>224_January_12_ABC0023</t>
  </si>
  <si>
    <t>#052</t>
  </si>
  <si>
    <t>450_January_20_ABC0023</t>
  </si>
  <si>
    <t>#053</t>
  </si>
  <si>
    <t>425_January_13_ABC0023</t>
  </si>
  <si>
    <t>#054</t>
  </si>
  <si>
    <t>482_January_19_ABC0023</t>
  </si>
  <si>
    <t>#055</t>
  </si>
  <si>
    <t>265_January_15_ABC0023</t>
  </si>
  <si>
    <t>#056</t>
  </si>
  <si>
    <t>499_January_19_ABC0023</t>
  </si>
  <si>
    <t>#057</t>
  </si>
  <si>
    <t>500_January_23_ABC0023</t>
  </si>
  <si>
    <t>#058</t>
  </si>
  <si>
    <t>377_January_17_ABC0023</t>
  </si>
  <si>
    <t>#059</t>
  </si>
  <si>
    <t>351_January_24_ABC0023</t>
  </si>
  <si>
    <t>#060</t>
  </si>
  <si>
    <t>441_January_11_ABC0023</t>
  </si>
  <si>
    <t>#061</t>
  </si>
  <si>
    <t>417_January_30_ABC0023</t>
  </si>
  <si>
    <t>#062</t>
  </si>
  <si>
    <t>496_January_3_ABC0023</t>
  </si>
  <si>
    <t>#063</t>
  </si>
  <si>
    <t>235_January_17_ABC0023</t>
  </si>
  <si>
    <t>#064</t>
  </si>
  <si>
    <t>331_January_1_ABC0023</t>
  </si>
  <si>
    <t>#065</t>
  </si>
  <si>
    <t>219_January_15_ABC0023</t>
  </si>
  <si>
    <t>#066</t>
  </si>
  <si>
    <t>366_January_2_ABC0023</t>
  </si>
  <si>
    <t>#067</t>
  </si>
  <si>
    <t>276_January_17_ABC0023</t>
  </si>
  <si>
    <t>#068</t>
  </si>
  <si>
    <t>349_January_8_ABC0023</t>
  </si>
  <si>
    <t>#069</t>
  </si>
  <si>
    <t>250_January_25_ABC0023</t>
  </si>
  <si>
    <t>#070</t>
  </si>
  <si>
    <t>264_January_10_ABC0023</t>
  </si>
  <si>
    <t>#071</t>
  </si>
  <si>
    <t>479_January_19_ABC0023</t>
  </si>
  <si>
    <t>#072</t>
  </si>
  <si>
    <t>362_January_14_ABC0023</t>
  </si>
  <si>
    <t>#073</t>
  </si>
  <si>
    <t>208_January_26_ABC0023</t>
  </si>
  <si>
    <t>#074</t>
  </si>
  <si>
    <t>251_January_22_ABC0023</t>
  </si>
  <si>
    <t>#075</t>
  </si>
  <si>
    <t>275_January_3_ABC0023</t>
  </si>
  <si>
    <t>#076</t>
  </si>
  <si>
    <t>365_January_23_ABC0023</t>
  </si>
  <si>
    <t>#077</t>
  </si>
  <si>
    <t>416_January_5_ABC0023</t>
  </si>
  <si>
    <t>#078</t>
  </si>
  <si>
    <t>294_January_14_ABC0023</t>
  </si>
  <si>
    <t>#079</t>
  </si>
  <si>
    <t>210_January_1_ABC0023</t>
  </si>
  <si>
    <t>#080</t>
  </si>
  <si>
    <t>317_February_28_ABC0023</t>
  </si>
  <si>
    <t>#081</t>
  </si>
  <si>
    <t>392_February_4_ABC0024</t>
  </si>
  <si>
    <t>#082</t>
  </si>
  <si>
    <t>417_February_6_ABC0025</t>
  </si>
  <si>
    <t>#083</t>
  </si>
  <si>
    <t>221_February_21_ABC0026</t>
  </si>
  <si>
    <t>#084</t>
  </si>
  <si>
    <t>478_February_3_ABC0027</t>
  </si>
  <si>
    <t>#085</t>
  </si>
  <si>
    <t>369_February_12_ABC0028</t>
  </si>
  <si>
    <t>#086</t>
  </si>
  <si>
    <t>439_February_19_ABC0029</t>
  </si>
  <si>
    <t>#087</t>
  </si>
  <si>
    <t>293_February_22_ABC0030</t>
  </si>
  <si>
    <t>#088</t>
  </si>
  <si>
    <t>290_February_24_ABC0031</t>
  </si>
  <si>
    <t>#089</t>
  </si>
  <si>
    <t>471_February_22_ABC0023</t>
  </si>
  <si>
    <t>#090</t>
  </si>
  <si>
    <t>387_February_23_ABC0024</t>
  </si>
  <si>
    <t>#091</t>
  </si>
  <si>
    <t>328_February_21_ABC0025</t>
  </si>
  <si>
    <t>#092</t>
  </si>
  <si>
    <t>355_February_26_ABC0026</t>
  </si>
  <si>
    <t>#093</t>
  </si>
  <si>
    <t>411_February_5_ABC0027</t>
  </si>
  <si>
    <t>#094</t>
  </si>
  <si>
    <t>292_February_6_ABC0028</t>
  </si>
  <si>
    <t>#095</t>
  </si>
  <si>
    <t>447_February_14_ABC0029</t>
  </si>
  <si>
    <t>#096</t>
  </si>
  <si>
    <t>220_February_27_ABC0030</t>
  </si>
  <si>
    <t>#097</t>
  </si>
  <si>
    <t>309_February_12_ABC0031</t>
  </si>
  <si>
    <t>#098</t>
  </si>
  <si>
    <t>252_February_16_ABC0023</t>
  </si>
  <si>
    <t>#099</t>
  </si>
  <si>
    <t>434_February_12_ABC0024</t>
  </si>
  <si>
    <t>#100</t>
  </si>
  <si>
    <t>424_February_13_ABC0025</t>
  </si>
  <si>
    <t>#101</t>
  </si>
  <si>
    <t>315_February_1_ABC0026</t>
  </si>
  <si>
    <t>#102</t>
  </si>
  <si>
    <t>439_February_7_ABC0023</t>
  </si>
  <si>
    <t>#103</t>
  </si>
  <si>
    <t>334_February_18_ABC0024</t>
  </si>
  <si>
    <t>#104</t>
  </si>
  <si>
    <t>230_February_11_ABC0025</t>
  </si>
  <si>
    <t>#105</t>
  </si>
  <si>
    <t>218_February_22_ABC0026</t>
  </si>
  <si>
    <t>#106</t>
  </si>
  <si>
    <t>276_February_28_ABC0027</t>
  </si>
  <si>
    <t>#107</t>
  </si>
  <si>
    <t>437_February_15_ABC0028</t>
  </si>
  <si>
    <t>#108</t>
  </si>
  <si>
    <t>232_February_21_ABC0029</t>
  </si>
  <si>
    <t>#109</t>
  </si>
  <si>
    <t>262_February_9_ABC0030</t>
  </si>
  <si>
    <t>#110</t>
  </si>
  <si>
    <t>498_February_17_ABC0031</t>
  </si>
  <si>
    <t>#111</t>
  </si>
  <si>
    <t>397_February_21_ABC0029</t>
  </si>
  <si>
    <t>#112</t>
  </si>
  <si>
    <t>369_February_12_ABC0030</t>
  </si>
  <si>
    <t>#113</t>
  </si>
  <si>
    <t>280_February_4_ABC0031</t>
  </si>
  <si>
    <t>#114</t>
  </si>
  <si>
    <t>319_February_20_ABC0027</t>
  </si>
  <si>
    <t>#115</t>
  </si>
  <si>
    <t>232_February_13_ABC0026</t>
  </si>
  <si>
    <t>#116</t>
  </si>
  <si>
    <t>484_February_3_ABC0023</t>
  </si>
  <si>
    <t>#117</t>
  </si>
  <si>
    <t>345_February_14_ABC0023</t>
  </si>
  <si>
    <t>#118</t>
  </si>
  <si>
    <t>343_February_13_ABC0023</t>
  </si>
  <si>
    <t>#119</t>
  </si>
  <si>
    <t>426_February_27_ABC0023</t>
  </si>
  <si>
    <t>#120</t>
  </si>
  <si>
    <t>355_February_15_ABC0023</t>
  </si>
  <si>
    <t>#121</t>
  </si>
  <si>
    <t>374_February_27_ABC0023</t>
  </si>
  <si>
    <t>#122</t>
  </si>
  <si>
    <t>451_February_13_ABC0023</t>
  </si>
  <si>
    <t>#123</t>
  </si>
  <si>
    <t>294_February_15_ABC0023</t>
  </si>
  <si>
    <t>#124</t>
  </si>
  <si>
    <t>418_February_8_ABC0023</t>
  </si>
  <si>
    <t>#125</t>
  </si>
  <si>
    <t>272_February_13_ABC0023</t>
  </si>
  <si>
    <t>#126</t>
  </si>
  <si>
    <t>313_February_18_ABC0023</t>
  </si>
  <si>
    <t>#127</t>
  </si>
  <si>
    <t>463_February_1_ABC0023</t>
  </si>
  <si>
    <t>#128</t>
  </si>
  <si>
    <t>235_February_28_ABC0023</t>
  </si>
  <si>
    <t>#129</t>
  </si>
  <si>
    <t>234_February_27_ABC0023</t>
  </si>
  <si>
    <t>#130</t>
  </si>
  <si>
    <t>250_February_25_ABC0023</t>
  </si>
  <si>
    <t>#131</t>
  </si>
  <si>
    <t>307_February_5_ABC0023</t>
  </si>
  <si>
    <t>#132</t>
  </si>
  <si>
    <t>264_February_18_ABC0023</t>
  </si>
  <si>
    <t>#133</t>
  </si>
  <si>
    <t>319_February_27_ABC0023</t>
  </si>
  <si>
    <t>#134</t>
  </si>
  <si>
    <t>227_February_4_ABC0023</t>
  </si>
  <si>
    <t>#135</t>
  </si>
  <si>
    <t>304_February_7_ABC0023</t>
  </si>
  <si>
    <t>#136</t>
  </si>
  <si>
    <t>239_February_16_ABC0023</t>
  </si>
  <si>
    <t>#137</t>
  </si>
  <si>
    <t>206_February_3_ABC0023</t>
  </si>
  <si>
    <t>#138</t>
  </si>
  <si>
    <t>210_February_15_ABC0023</t>
  </si>
  <si>
    <t>#139</t>
  </si>
  <si>
    <t>298_February_13_ABC0023</t>
  </si>
  <si>
    <t>#140</t>
  </si>
  <si>
    <t>490_February_23_ABC0023</t>
  </si>
  <si>
    <t>#141</t>
  </si>
  <si>
    <t>346_February_26_ABC0023</t>
  </si>
  <si>
    <t>#142</t>
  </si>
  <si>
    <t>378_February_6_ABC0023</t>
  </si>
  <si>
    <t>#143</t>
  </si>
  <si>
    <t>298_February_2_ABC0023</t>
  </si>
  <si>
    <t>#144</t>
  </si>
  <si>
    <t>302_February_20_ABC0023</t>
  </si>
  <si>
    <t>#145</t>
  </si>
  <si>
    <t>438_February_13_ABC0023</t>
  </si>
  <si>
    <t>#146</t>
  </si>
  <si>
    <t>340_February_6_ABC0023</t>
  </si>
  <si>
    <t>#147</t>
  </si>
  <si>
    <t>354_February_17_ABC0023</t>
  </si>
  <si>
    <t>#148</t>
  </si>
  <si>
    <t>460_February_12_ABC0023</t>
  </si>
  <si>
    <t>#149</t>
  </si>
  <si>
    <t>352_February_5_ABC0023</t>
  </si>
  <si>
    <t>#150</t>
  </si>
  <si>
    <t>203_February_12_ABC0023</t>
  </si>
  <si>
    <t>#151</t>
  </si>
  <si>
    <t>466_February_2_ABC0023</t>
  </si>
  <si>
    <t>#152</t>
  </si>
  <si>
    <t>403_February_4_ABC0023</t>
  </si>
  <si>
    <t>#153</t>
  </si>
  <si>
    <t>233_February_5_ABC0023</t>
  </si>
  <si>
    <t>#154</t>
  </si>
  <si>
    <t>411_February_22_ABC0023</t>
  </si>
  <si>
    <t>#155</t>
  </si>
  <si>
    <t>235_February_10_ABC0023</t>
  </si>
  <si>
    <t>#156</t>
  </si>
  <si>
    <t>386_February_5_ABC0023</t>
  </si>
  <si>
    <t>#157</t>
  </si>
  <si>
    <t>422_February_8_ABC0023</t>
  </si>
  <si>
    <t>#158</t>
  </si>
  <si>
    <t>355_February_26_ABC0023</t>
  </si>
  <si>
    <t>#159</t>
  </si>
  <si>
    <t>238_March_28_ABC0023</t>
  </si>
  <si>
    <t>#160</t>
  </si>
  <si>
    <t>418_March_21_ABC0024</t>
  </si>
  <si>
    <t>#161</t>
  </si>
  <si>
    <t>475_March_28_ABC0025</t>
  </si>
  <si>
    <t>#162</t>
  </si>
  <si>
    <t>475_March_26_ABC0026</t>
  </si>
  <si>
    <t>#163</t>
  </si>
  <si>
    <t>463_March_9_ABC0027</t>
  </si>
  <si>
    <t>#164</t>
  </si>
  <si>
    <t>221_March_15_ABC0028</t>
  </si>
  <si>
    <t>#165</t>
  </si>
  <si>
    <t>374_March_10_ABC0029</t>
  </si>
  <si>
    <t>#166</t>
  </si>
  <si>
    <t>311_March_2_ABC0030</t>
  </si>
  <si>
    <t>#167</t>
  </si>
  <si>
    <t>329_March_28_ABC0031</t>
  </si>
  <si>
    <t>#168</t>
  </si>
  <si>
    <t>347_March_27_ABC0023</t>
  </si>
  <si>
    <t>#169</t>
  </si>
  <si>
    <t>305_March_28_ABC0024</t>
  </si>
  <si>
    <t>#170</t>
  </si>
  <si>
    <t>397_March_3_ABC0025</t>
  </si>
  <si>
    <t>#171</t>
  </si>
  <si>
    <t>404_March_23_ABC0026</t>
  </si>
  <si>
    <t>#172</t>
  </si>
  <si>
    <t>353_March_20_ABC0027</t>
  </si>
  <si>
    <t>#173</t>
  </si>
  <si>
    <t>337_March_6_ABC0028</t>
  </si>
  <si>
    <t>#174</t>
  </si>
  <si>
    <t>398_March_29_ABC0029</t>
  </si>
  <si>
    <t>#175</t>
  </si>
  <si>
    <t>289_March_5_ABC0030</t>
  </si>
  <si>
    <t>#176</t>
  </si>
  <si>
    <t>413_March_10_ABC0031</t>
  </si>
  <si>
    <t>#177</t>
  </si>
  <si>
    <t>342_March_26_ABC0023</t>
  </si>
  <si>
    <t>#178</t>
  </si>
  <si>
    <t>331_March_9_ABC0024</t>
  </si>
  <si>
    <t>#179</t>
  </si>
  <si>
    <t>429_March_17_ABC0025</t>
  </si>
  <si>
    <t>#180</t>
  </si>
  <si>
    <t>438_March_26_ABC0026</t>
  </si>
  <si>
    <t>#181</t>
  </si>
  <si>
    <t>493_March_5_ABC0023</t>
  </si>
  <si>
    <t>#182</t>
  </si>
  <si>
    <t>300_March_6_ABC0024</t>
  </si>
  <si>
    <t>#183</t>
  </si>
  <si>
    <t>245_March_21_ABC0025</t>
  </si>
  <si>
    <t>#184</t>
  </si>
  <si>
    <t>220_March_8_ABC0026</t>
  </si>
  <si>
    <t>#185</t>
  </si>
  <si>
    <t>370_March_11_ABC0027</t>
  </si>
  <si>
    <t>#186</t>
  </si>
  <si>
    <t>256_March_10_ABC0028</t>
  </si>
  <si>
    <t>#187</t>
  </si>
  <si>
    <t>243_March_15_ABC0029</t>
  </si>
  <si>
    <t>#188</t>
  </si>
  <si>
    <t>316_March_8_ABC0030</t>
  </si>
  <si>
    <t>#189</t>
  </si>
  <si>
    <t>418_March_11_ABC0031</t>
  </si>
  <si>
    <t>#190</t>
  </si>
  <si>
    <t>225_March_23_ABC0029</t>
  </si>
  <si>
    <t>#191</t>
  </si>
  <si>
    <t>222_March_20_ABC0030</t>
  </si>
  <si>
    <t>#192</t>
  </si>
  <si>
    <t>382_March_17_ABC0031</t>
  </si>
  <si>
    <t>#193</t>
  </si>
  <si>
    <t>202_March_19_ABC0027</t>
  </si>
  <si>
    <t>#194</t>
  </si>
  <si>
    <t>420_March_14_ABC0026</t>
  </si>
  <si>
    <t>#195</t>
  </si>
  <si>
    <t>489_March_27_ABC0023</t>
  </si>
  <si>
    <t>#196</t>
  </si>
  <si>
    <t>237_March_4_ABC0023</t>
  </si>
  <si>
    <t>#197</t>
  </si>
  <si>
    <t>440_March_22_ABC0023</t>
  </si>
  <si>
    <t>#198</t>
  </si>
  <si>
    <t>498_March_30_ABC0023</t>
  </si>
  <si>
    <t>#199</t>
  </si>
  <si>
    <t>419_March_9_ABC0023</t>
  </si>
  <si>
    <t>#200</t>
  </si>
  <si>
    <t>405_March_22_ABC0023</t>
  </si>
  <si>
    <t>#201</t>
  </si>
  <si>
    <t>462_March_17_ABC0023</t>
  </si>
  <si>
    <t>#202</t>
  </si>
  <si>
    <t>274_March_26_ABC0023</t>
  </si>
  <si>
    <t>#203</t>
  </si>
  <si>
    <t>260_March_3_ABC0023</t>
  </si>
  <si>
    <t>#204</t>
  </si>
  <si>
    <t>358_March_27_ABC0023</t>
  </si>
  <si>
    <t>#205</t>
  </si>
  <si>
    <t>441_March_10_ABC0023</t>
  </si>
  <si>
    <t>#206</t>
  </si>
  <si>
    <t>271_March_5_ABC0023</t>
  </si>
  <si>
    <t>#207</t>
  </si>
  <si>
    <t>394_March_17_ABC0023</t>
  </si>
  <si>
    <t>#208</t>
  </si>
  <si>
    <t>306_March_8_ABC0023</t>
  </si>
  <si>
    <t>#209</t>
  </si>
  <si>
    <t>317_March_19_ABC0023</t>
  </si>
  <si>
    <t>#210</t>
  </si>
  <si>
    <t>444_March_26_ABC0023</t>
  </si>
  <si>
    <t>#211</t>
  </si>
  <si>
    <t>235_March_11_ABC0023</t>
  </si>
  <si>
    <t>#212</t>
  </si>
  <si>
    <t>469_March_3_ABC0023</t>
  </si>
  <si>
    <t>#213</t>
  </si>
  <si>
    <t>222_March_11_ABC0023</t>
  </si>
  <si>
    <t>#214</t>
  </si>
  <si>
    <t>353_March_2_ABC0023</t>
  </si>
  <si>
    <t>#215</t>
  </si>
  <si>
    <t>243_March_5_ABC0023</t>
  </si>
  <si>
    <t>#216</t>
  </si>
  <si>
    <t>452_March_9_ABC0023</t>
  </si>
  <si>
    <t>#217</t>
  </si>
  <si>
    <t>365_March_4_ABC0023</t>
  </si>
  <si>
    <t>#218</t>
  </si>
  <si>
    <t>268_March_1_ABC0023</t>
  </si>
  <si>
    <t>#219</t>
  </si>
  <si>
    <t>428_March_29_ABC0023</t>
  </si>
  <si>
    <t>#220</t>
  </si>
  <si>
    <t>461_March_28_ABC0023</t>
  </si>
  <si>
    <t>#221</t>
  </si>
  <si>
    <t>376_March_14_ABC0023</t>
  </si>
  <si>
    <t>#222</t>
  </si>
  <si>
    <t>308_March_19_ABC0023</t>
  </si>
  <si>
    <t>#223</t>
  </si>
  <si>
    <t>306_March_18_ABC0023</t>
  </si>
  <si>
    <t>#224</t>
  </si>
  <si>
    <t>483_March_30_ABC0023</t>
  </si>
  <si>
    <t>#225</t>
  </si>
  <si>
    <t>336_March_29_ABC0023</t>
  </si>
  <si>
    <t>#226</t>
  </si>
  <si>
    <t>374_March_8_ABC0023</t>
  </si>
  <si>
    <t>#227</t>
  </si>
  <si>
    <t>260_March_15_ABC0023</t>
  </si>
  <si>
    <t>#228</t>
  </si>
  <si>
    <t>363_March_25_ABC0023</t>
  </si>
  <si>
    <t>#229</t>
  </si>
  <si>
    <t>250_March_12_ABC0023</t>
  </si>
  <si>
    <t>#230</t>
  </si>
  <si>
    <t>253_March_10_ABC0023</t>
  </si>
  <si>
    <t>#231</t>
  </si>
  <si>
    <t>245_March_24_ABC0023</t>
  </si>
  <si>
    <t>#232</t>
  </si>
  <si>
    <t>401_March_1_ABC0023</t>
  </si>
  <si>
    <t>#233</t>
  </si>
  <si>
    <t>254_March_1_ABC0023</t>
  </si>
  <si>
    <t>#234</t>
  </si>
  <si>
    <t>288_March_22_ABC0023</t>
  </si>
  <si>
    <t>#235</t>
  </si>
  <si>
    <t>319_March_29_ABC0023</t>
  </si>
  <si>
    <t>#236</t>
  </si>
  <si>
    <t>314_March_15_ABC0023</t>
  </si>
  <si>
    <t>#237</t>
  </si>
  <si>
    <t>220_March_26_ABC0023</t>
  </si>
  <si>
    <t>#238</t>
  </si>
  <si>
    <t>364_March_6_ABC0023</t>
  </si>
  <si>
    <t>#239</t>
  </si>
  <si>
    <t>479_March_13_ABC0024</t>
  </si>
  <si>
    <t>#240</t>
  </si>
  <si>
    <t>304_March_9_ABC0025</t>
  </si>
  <si>
    <t>#241</t>
  </si>
  <si>
    <t>287_March_22_ABC0026</t>
  </si>
  <si>
    <t>#242</t>
  </si>
  <si>
    <t>388_March_18_ABC0027</t>
  </si>
  <si>
    <t>#243</t>
  </si>
  <si>
    <t>419_March_21_ABC0028</t>
  </si>
  <si>
    <t>#244</t>
  </si>
  <si>
    <t>350_March_21_ABC0029</t>
  </si>
  <si>
    <t>#245</t>
  </si>
  <si>
    <t>489_March_23_ABC0030</t>
  </si>
  <si>
    <t>#246</t>
  </si>
  <si>
    <t>253_March_30_ABC0031</t>
  </si>
  <si>
    <t>#247</t>
  </si>
  <si>
    <t>365_March_26_ABC0023</t>
  </si>
  <si>
    <t>#248</t>
  </si>
  <si>
    <t>202_March_23_ABC0024</t>
  </si>
  <si>
    <t>#249</t>
  </si>
  <si>
    <t>272_March_12_ABC0025</t>
  </si>
  <si>
    <t>#250</t>
  </si>
  <si>
    <t>452_March_17_ABC0026</t>
  </si>
  <si>
    <t>#251</t>
  </si>
  <si>
    <t>409_March_20_ABC0027</t>
  </si>
  <si>
    <t>#252</t>
  </si>
  <si>
    <t>229_March_26_ABC0028</t>
  </si>
  <si>
    <t>#253</t>
  </si>
  <si>
    <t>335_April_9_ABC0023</t>
  </si>
  <si>
    <t>#254</t>
  </si>
  <si>
    <t>331_April_15_ABC0024</t>
  </si>
  <si>
    <t>#255</t>
  </si>
  <si>
    <t>490_April_11_ABC0025</t>
  </si>
  <si>
    <t>#256</t>
  </si>
  <si>
    <t>316_April_22_ABC0026</t>
  </si>
  <si>
    <t>#257</t>
  </si>
  <si>
    <t>348_April_26_ABC0027</t>
  </si>
  <si>
    <t>#258</t>
  </si>
  <si>
    <t>484_April_18_ABC0028</t>
  </si>
  <si>
    <t>#259</t>
  </si>
  <si>
    <t>383_April_2_ABC0029</t>
  </si>
  <si>
    <t>#260</t>
  </si>
  <si>
    <t>420_April_8_ABC0030</t>
  </si>
  <si>
    <t>#261</t>
  </si>
  <si>
    <t>226_April_4_ABC0031</t>
  </si>
  <si>
    <t>#262</t>
  </si>
  <si>
    <t>339_April_16_ABC0023</t>
  </si>
  <si>
    <t>#263</t>
  </si>
  <si>
    <t>322_April_11_ABC0024</t>
  </si>
  <si>
    <t>#264</t>
  </si>
  <si>
    <t>342_April_7_ABC0025</t>
  </si>
  <si>
    <t>#265</t>
  </si>
  <si>
    <t>231_April_5_ABC0026</t>
  </si>
  <si>
    <t>#266</t>
  </si>
  <si>
    <t>431_April_15_ABC0027</t>
  </si>
  <si>
    <t>#267</t>
  </si>
  <si>
    <t>310_April_20_ABC0028</t>
  </si>
  <si>
    <t>#268</t>
  </si>
  <si>
    <t>338_April_16_ABC0029</t>
  </si>
  <si>
    <t>#269</t>
  </si>
  <si>
    <t>431_April_17_ABC0030</t>
  </si>
  <si>
    <t>#270</t>
  </si>
  <si>
    <t>474_April_5_ABC0031</t>
  </si>
  <si>
    <t>#271</t>
  </si>
  <si>
    <t>285_April_13_ABC0023</t>
  </si>
  <si>
    <t>#272</t>
  </si>
  <si>
    <t>450_April_20_ABC0024</t>
  </si>
  <si>
    <t>#273</t>
  </si>
  <si>
    <t>256_April_8_ABC0025</t>
  </si>
  <si>
    <t>#274</t>
  </si>
  <si>
    <t>438_April_17_ABC0026</t>
  </si>
  <si>
    <t>#275</t>
  </si>
  <si>
    <t>385_April_8_ABC0023</t>
  </si>
  <si>
    <t>#276</t>
  </si>
  <si>
    <t>483_April_27_ABC0024</t>
  </si>
  <si>
    <t>#277</t>
  </si>
  <si>
    <t>313_April_28_ABC0025</t>
  </si>
  <si>
    <t>#278</t>
  </si>
  <si>
    <t>399_April_26_ABC0026</t>
  </si>
  <si>
    <t>#279</t>
  </si>
  <si>
    <t>280_April_10_ABC0027</t>
  </si>
  <si>
    <t>#280</t>
  </si>
  <si>
    <t>291_April_28_ABC0028</t>
  </si>
  <si>
    <t>#281</t>
  </si>
  <si>
    <t>310_April_30_ABC0029</t>
  </si>
  <si>
    <t>#282</t>
  </si>
  <si>
    <t>247_April_24_ABC0030</t>
  </si>
  <si>
    <t>#283</t>
  </si>
  <si>
    <t>240_April_10_ABC0031</t>
  </si>
  <si>
    <t>#284</t>
  </si>
  <si>
    <t>450_April_2_ABC0029</t>
  </si>
  <si>
    <t>#285</t>
  </si>
  <si>
    <t>305_April_8_ABC0030</t>
  </si>
  <si>
    <t>#286</t>
  </si>
  <si>
    <t>264_April_11_ABC0031</t>
  </si>
  <si>
    <t>#287</t>
  </si>
  <si>
    <t>484_April_27_ABC0027</t>
  </si>
  <si>
    <t>#288</t>
  </si>
  <si>
    <t>440_April_27_ABC0026</t>
  </si>
  <si>
    <t>#289</t>
  </si>
  <si>
    <t>226_April_9_ABC0023</t>
  </si>
  <si>
    <t>#290</t>
  </si>
  <si>
    <t>201_April_26_ABC0023</t>
  </si>
  <si>
    <t>#291</t>
  </si>
  <si>
    <t>230_April_10_ABC0023</t>
  </si>
  <si>
    <t>#292</t>
  </si>
  <si>
    <t>403_April_19_ABC0023</t>
  </si>
  <si>
    <t>#293</t>
  </si>
  <si>
    <t>235_April_22_ABC0023</t>
  </si>
  <si>
    <t>#294</t>
  </si>
  <si>
    <t>223_April_4_ABC0023</t>
  </si>
  <si>
    <t>#295</t>
  </si>
  <si>
    <t>438_April_5_ABC0023</t>
  </si>
  <si>
    <t>#296</t>
  </si>
  <si>
    <t>352_April_17_ABC0023</t>
  </si>
  <si>
    <t>#297</t>
  </si>
  <si>
    <t>307_April_14_ABC0023</t>
  </si>
  <si>
    <t>#298</t>
  </si>
  <si>
    <t>464_April_20_ABC0023</t>
  </si>
  <si>
    <t>#299</t>
  </si>
  <si>
    <t>371_April_8_ABC0023</t>
  </si>
  <si>
    <t>#300</t>
  </si>
  <si>
    <t>348_April_24_ABC0023</t>
  </si>
  <si>
    <t>#301</t>
  </si>
  <si>
    <t>433_April_14_ABC0023</t>
  </si>
  <si>
    <t>#302</t>
  </si>
  <si>
    <t>298_April_23_ABC0023</t>
  </si>
  <si>
    <t>#303</t>
  </si>
  <si>
    <t>495_April_23_ABC0023</t>
  </si>
  <si>
    <t>#304</t>
  </si>
  <si>
    <t>289_April_8_ABC0023</t>
  </si>
  <si>
    <t>#305</t>
  </si>
  <si>
    <t>414_April_20_ABC0023</t>
  </si>
  <si>
    <t>#306</t>
  </si>
  <si>
    <t>315_April_15_ABC0023</t>
  </si>
  <si>
    <t>#307</t>
  </si>
  <si>
    <t>387_April_9_ABC0023</t>
  </si>
  <si>
    <t>#308</t>
  </si>
  <si>
    <t>455_April_12_ABC0023</t>
  </si>
  <si>
    <t>#309</t>
  </si>
  <si>
    <t>294_April_11_ABC0023</t>
  </si>
  <si>
    <t>#310</t>
  </si>
  <si>
    <t>283_April_17_ABC0023</t>
  </si>
  <si>
    <t>#311</t>
  </si>
  <si>
    <t>222_April_19_ABC0023</t>
  </si>
  <si>
    <t>#312</t>
  </si>
  <si>
    <t>403_April_14_ABC0023</t>
  </si>
  <si>
    <t>#313</t>
  </si>
  <si>
    <t>286_April_6_ABC0023</t>
  </si>
  <si>
    <t>#314</t>
  </si>
  <si>
    <t>421_April_11_ABC0023</t>
  </si>
  <si>
    <t>#315</t>
  </si>
  <si>
    <t>482_April_14_ABC0023</t>
  </si>
  <si>
    <t>#316</t>
  </si>
  <si>
    <t>292_April_13_ABC0023</t>
  </si>
  <si>
    <t>#317</t>
  </si>
  <si>
    <t>445_April_1_ABC0023</t>
  </si>
  <si>
    <t>#318</t>
  </si>
  <si>
    <t>376_April_27_ABC0023</t>
  </si>
  <si>
    <t>#319</t>
  </si>
  <si>
    <t>478_April_14_ABC0023</t>
  </si>
  <si>
    <t>#320</t>
  </si>
  <si>
    <t>447_April_3_ABC0023</t>
  </si>
  <si>
    <t>#321</t>
  </si>
  <si>
    <t>231_April_9_ABC0023</t>
  </si>
  <si>
    <t>#322</t>
  </si>
  <si>
    <t>210_April_22_ABC0023</t>
  </si>
  <si>
    <t>#323</t>
  </si>
  <si>
    <t>398_April_6_ABC0023</t>
  </si>
  <si>
    <t>#324</t>
  </si>
  <si>
    <t>361_April_6_ABC0023</t>
  </si>
  <si>
    <t>#325</t>
  </si>
  <si>
    <t>325_April_19_ABC0023</t>
  </si>
  <si>
    <t>#326</t>
  </si>
  <si>
    <t>287_April_23_ABC0023</t>
  </si>
  <si>
    <t>#327</t>
  </si>
  <si>
    <t>295_April_2_ABC0023</t>
  </si>
  <si>
    <t>#328</t>
  </si>
  <si>
    <t>381_April_2_ABC0023</t>
  </si>
  <si>
    <t>#329</t>
  </si>
  <si>
    <t>481_April_16_ABC0023</t>
  </si>
  <si>
    <t>#330</t>
  </si>
  <si>
    <t>350_April_27_ABC0023</t>
  </si>
  <si>
    <t>#331</t>
  </si>
  <si>
    <t>427_April_20_ABC0023</t>
  </si>
  <si>
    <t>#332</t>
  </si>
  <si>
    <t>351_April_27_ABC0023</t>
  </si>
  <si>
    <t>#333</t>
  </si>
  <si>
    <t>493_April_23_ABC0024</t>
  </si>
  <si>
    <t>#334</t>
  </si>
  <si>
    <t>365_April_21_ABC0025</t>
  </si>
  <si>
    <t>#335</t>
  </si>
  <si>
    <t>243_April_26_ABC0026</t>
  </si>
  <si>
    <t>#336</t>
  </si>
  <si>
    <t>383_April_23_ABC0027</t>
  </si>
  <si>
    <t>#337</t>
  </si>
  <si>
    <t>305_April_3_ABC0028</t>
  </si>
  <si>
    <t>#338</t>
  </si>
  <si>
    <t>494_April_24_ABC0029</t>
  </si>
  <si>
    <t>#339</t>
  </si>
  <si>
    <t>288_April_23_ABC0030</t>
  </si>
  <si>
    <t>#340</t>
  </si>
  <si>
    <t>325_April_14_ABC0031</t>
  </si>
  <si>
    <t>#341</t>
  </si>
  <si>
    <t>418_April_30_ABC0023</t>
  </si>
  <si>
    <t>#342</t>
  </si>
  <si>
    <t>230_April_14_ABC0024</t>
  </si>
  <si>
    <t>#343</t>
  </si>
  <si>
    <t>261_April_22_ABC0025</t>
  </si>
  <si>
    <t>#344</t>
  </si>
  <si>
    <t>365_April_15_ABC0026</t>
  </si>
  <si>
    <t>#345</t>
  </si>
  <si>
    <t>451_April_21_ABC0027</t>
  </si>
  <si>
    <t>#346</t>
  </si>
  <si>
    <t>329_April_17_ABC0028</t>
  </si>
  <si>
    <t>#347</t>
  </si>
  <si>
    <t>399_April_27_ABC0031</t>
  </si>
  <si>
    <t>#348</t>
  </si>
  <si>
    <t>406_April_28_ABC0023</t>
  </si>
  <si>
    <t>#349</t>
  </si>
  <si>
    <t>383_April_2_ABC0024</t>
  </si>
  <si>
    <t>#350</t>
  </si>
  <si>
    <t>461_April_13_ABC0025</t>
  </si>
  <si>
    <t>#351</t>
  </si>
  <si>
    <t>493_April_7_ABC0026</t>
  </si>
  <si>
    <t>#352</t>
  </si>
  <si>
    <t>462_April_10_ABC0027</t>
  </si>
  <si>
    <t>#353</t>
  </si>
  <si>
    <t>341_April_17_ABC0028</t>
  </si>
  <si>
    <t>#354</t>
  </si>
  <si>
    <t>449_April_25_ABC0031</t>
  </si>
  <si>
    <t>#355</t>
  </si>
  <si>
    <t>273_April_21_ABC0023</t>
  </si>
  <si>
    <t>#356</t>
  </si>
  <si>
    <t>459_April_12_ABC0024</t>
  </si>
  <si>
    <t>#357</t>
  </si>
  <si>
    <t>284_April_13_ABC0025</t>
  </si>
  <si>
    <t>#358</t>
  </si>
  <si>
    <t>261_April_11_ABC0026</t>
  </si>
  <si>
    <t>#359</t>
  </si>
  <si>
    <t>318_April_14_ABC0027</t>
  </si>
  <si>
    <t>#360</t>
  </si>
  <si>
    <t>497_April_2_ABC0028</t>
  </si>
  <si>
    <t>#361</t>
  </si>
  <si>
    <t>468_April_18_ABC0031</t>
  </si>
  <si>
    <t>#362</t>
  </si>
  <si>
    <t>218_April_20_ABC0023</t>
  </si>
  <si>
    <t>#363</t>
  </si>
  <si>
    <t>229_April_30_ABC0024</t>
  </si>
  <si>
    <t>#364</t>
  </si>
  <si>
    <t>353_April_14_ABC0025</t>
  </si>
  <si>
    <t>#365</t>
  </si>
  <si>
    <t>335_May_9_ABC0023</t>
  </si>
  <si>
    <t>#366</t>
  </si>
  <si>
    <t>331_May_15_ABC0024</t>
  </si>
  <si>
    <t>#367</t>
  </si>
  <si>
    <t>490_May_11_ABC0025</t>
  </si>
  <si>
    <t>#368</t>
  </si>
  <si>
    <t>316_May_22_ABC0026</t>
  </si>
  <si>
    <t>#369</t>
  </si>
  <si>
    <t>348_May_26_ABC0027</t>
  </si>
  <si>
    <t>#370</t>
  </si>
  <si>
    <t>484_May_18_ABC0028</t>
  </si>
  <si>
    <t>#371</t>
  </si>
  <si>
    <t>383_May_2_ABC0029</t>
  </si>
  <si>
    <t>#372</t>
  </si>
  <si>
    <t>420_May_8_ABC0030</t>
  </si>
  <si>
    <t>#373</t>
  </si>
  <si>
    <t>226_May_4_ABC0031</t>
  </si>
  <si>
    <t>#374</t>
  </si>
  <si>
    <t>339_May_16_ABC0023</t>
  </si>
  <si>
    <t>#375</t>
  </si>
  <si>
    <t>322_May_11_ABC0024</t>
  </si>
  <si>
    <t>#376</t>
  </si>
  <si>
    <t>342_May_7_ABC0025</t>
  </si>
  <si>
    <t>#377</t>
  </si>
  <si>
    <t>231_May_5_ABC0026</t>
  </si>
  <si>
    <t>#378</t>
  </si>
  <si>
    <t>431_May_15_ABC0027</t>
  </si>
  <si>
    <t>#379</t>
  </si>
  <si>
    <t>310_May_20_ABC0028</t>
  </si>
  <si>
    <t>#380</t>
  </si>
  <si>
    <t>338_May_16_ABC0029</t>
  </si>
  <si>
    <t>#381</t>
  </si>
  <si>
    <t>431_May_17_ABC0030</t>
  </si>
  <si>
    <t>#382</t>
  </si>
  <si>
    <t>474_May_5_ABC0031</t>
  </si>
  <si>
    <t>#383</t>
  </si>
  <si>
    <t>285_May_13_ABC0023</t>
  </si>
  <si>
    <t>#384</t>
  </si>
  <si>
    <t>450_May_20_ABC0024</t>
  </si>
  <si>
    <t>#385</t>
  </si>
  <si>
    <t>256_May_8_ABC0025</t>
  </si>
  <si>
    <t>#386</t>
  </si>
  <si>
    <t>438_May_17_ABC0026</t>
  </si>
  <si>
    <t>#387</t>
  </si>
  <si>
    <t>385_May_8_ABC0023</t>
  </si>
  <si>
    <t>#388</t>
  </si>
  <si>
    <t>483_May_27_ABC0024</t>
  </si>
  <si>
    <t>#389</t>
  </si>
  <si>
    <t>313_May_28_ABC0025</t>
  </si>
  <si>
    <t>#390</t>
  </si>
  <si>
    <t>399_May_26_ABC0026</t>
  </si>
  <si>
    <t>#391</t>
  </si>
  <si>
    <t>280_May_10_ABC0027</t>
  </si>
  <si>
    <t>#392</t>
  </si>
  <si>
    <t>291_May_28_ABC0028</t>
  </si>
  <si>
    <t>#393</t>
  </si>
  <si>
    <t>310_May_30_ABC0029</t>
  </si>
  <si>
    <t>#394</t>
  </si>
  <si>
    <t>247_May_24_ABC0030</t>
  </si>
  <si>
    <t>#395</t>
  </si>
  <si>
    <t>240_May_10_ABC0031</t>
  </si>
  <si>
    <t>#396</t>
  </si>
  <si>
    <t>450_May_2_ABC0029</t>
  </si>
  <si>
    <t>#397</t>
  </si>
  <si>
    <t>305_May_8_ABC0030</t>
  </si>
  <si>
    <t>#398</t>
  </si>
  <si>
    <t>264_May_11_ABC0031</t>
  </si>
  <si>
    <t>#399</t>
  </si>
  <si>
    <t>484_May_27_ABC0027</t>
  </si>
  <si>
    <t>#400</t>
  </si>
  <si>
    <t>440_May_27_ABC0026</t>
  </si>
  <si>
    <t>#401</t>
  </si>
  <si>
    <t>226_May_9_ABC0023</t>
  </si>
  <si>
    <t>#402</t>
  </si>
  <si>
    <t>201_May_26_ABC0023</t>
  </si>
  <si>
    <t>#403</t>
  </si>
  <si>
    <t>230_May_10_ABC0023</t>
  </si>
  <si>
    <t>#404</t>
  </si>
  <si>
    <t>403_May_19_ABC0023</t>
  </si>
  <si>
    <t>#405</t>
  </si>
  <si>
    <t>235_May_22_ABC0023</t>
  </si>
  <si>
    <t>#406</t>
  </si>
  <si>
    <t>223_May_4_ABC0023</t>
  </si>
  <si>
    <t>#407</t>
  </si>
  <si>
    <t>438_May_5_ABC0023</t>
  </si>
  <si>
    <t>#408</t>
  </si>
  <si>
    <t>352_May_17_ABC0023</t>
  </si>
  <si>
    <t>#409</t>
  </si>
  <si>
    <t>307_May_14_ABC0023</t>
  </si>
  <si>
    <t>#410</t>
  </si>
  <si>
    <t>464_May_20_ABC0023</t>
  </si>
  <si>
    <t>#411</t>
  </si>
  <si>
    <t>371_May_8_ABC0023</t>
  </si>
  <si>
    <t>#412</t>
  </si>
  <si>
    <t>348_May_24_ABC0023</t>
  </si>
  <si>
    <t>#413</t>
  </si>
  <si>
    <t>433_May_14_ABC0023</t>
  </si>
  <si>
    <t>#414</t>
  </si>
  <si>
    <t>298_May_23_ABC0023</t>
  </si>
  <si>
    <t>#415</t>
  </si>
  <si>
    <t>495_May_23_ABC0023</t>
  </si>
  <si>
    <t>#416</t>
  </si>
  <si>
    <t>289_May_8_ABC0023</t>
  </si>
  <si>
    <t>#417</t>
  </si>
  <si>
    <t>414_May_20_ABC0023</t>
  </si>
  <si>
    <t>#418</t>
  </si>
  <si>
    <t>315_May_15_ABC0023</t>
  </si>
  <si>
    <t>#419</t>
  </si>
  <si>
    <t>387_May_9_ABC0023</t>
  </si>
  <si>
    <t>#420</t>
  </si>
  <si>
    <t>455_May_12_ABC0023</t>
  </si>
  <si>
    <t>#421</t>
  </si>
  <si>
    <t>294_May_11_ABC0023</t>
  </si>
  <si>
    <t>#422</t>
  </si>
  <si>
    <t>283_May_17_ABC0023</t>
  </si>
  <si>
    <t>#423</t>
  </si>
  <si>
    <t>222_May_19_ABC0023</t>
  </si>
  <si>
    <t>#424</t>
  </si>
  <si>
    <t>403_May_14_ABC0023</t>
  </si>
  <si>
    <t>#425</t>
  </si>
  <si>
    <t>286_May_6_ABC0023</t>
  </si>
  <si>
    <t>#426</t>
  </si>
  <si>
    <t>421_May_11_ABC0023</t>
  </si>
  <si>
    <t>#427</t>
  </si>
  <si>
    <t>482_May_14_ABC0023</t>
  </si>
  <si>
    <t>#428</t>
  </si>
  <si>
    <t>292_May_13_ABC0023</t>
  </si>
  <si>
    <t>#429</t>
  </si>
  <si>
    <t>445_May_1_ABC0023</t>
  </si>
  <si>
    <t>#430</t>
  </si>
  <si>
    <t>376_May_27_ABC0023</t>
  </si>
  <si>
    <t>#431</t>
  </si>
  <si>
    <t>478_May_14_ABC0023</t>
  </si>
  <si>
    <t>#432</t>
  </si>
  <si>
    <t>447_May_3_ABC0023</t>
  </si>
  <si>
    <t>#433</t>
  </si>
  <si>
    <t>231_May_9_ABC0023</t>
  </si>
  <si>
    <t>#434</t>
  </si>
  <si>
    <t>210_May_22_ABC0023</t>
  </si>
  <si>
    <t>#435</t>
  </si>
  <si>
    <t>398_May_6_ABC0023</t>
  </si>
  <si>
    <t>#436</t>
  </si>
  <si>
    <t>361_May_6_ABC0023</t>
  </si>
  <si>
    <t>#437</t>
  </si>
  <si>
    <t>325_May_19_ABC0023</t>
  </si>
  <si>
    <t>#438</t>
  </si>
  <si>
    <t>287_May_23_ABC0023</t>
  </si>
  <si>
    <t>#439</t>
  </si>
  <si>
    <t>295_May_2_ABC0023</t>
  </si>
  <si>
    <t>#440</t>
  </si>
  <si>
    <t>381_May_2_ABC0023</t>
  </si>
  <si>
    <t>#441</t>
  </si>
  <si>
    <t>481_May_16_ABC0023</t>
  </si>
  <si>
    <t>#442</t>
  </si>
  <si>
    <t>350_May_27_ABC0023</t>
  </si>
  <si>
    <t>#443</t>
  </si>
  <si>
    <t>427_May_20_ABC0023</t>
  </si>
  <si>
    <t>#444</t>
  </si>
  <si>
    <t>351_May_27_ABC0023</t>
  </si>
  <si>
    <t>#445</t>
  </si>
  <si>
    <t>493_May_23_ABC0024</t>
  </si>
  <si>
    <t>#446</t>
  </si>
  <si>
    <t>365_May_21_ABC0025</t>
  </si>
  <si>
    <t>#447</t>
  </si>
  <si>
    <t>243_May_26_ABC0026</t>
  </si>
  <si>
    <t>#448</t>
  </si>
  <si>
    <t>383_May_23_ABC0027</t>
  </si>
  <si>
    <t>#449</t>
  </si>
  <si>
    <t>305_May_3_ABC0028</t>
  </si>
  <si>
    <t>#450</t>
  </si>
  <si>
    <t>494_May_24_ABC0029</t>
  </si>
  <si>
    <t>#451</t>
  </si>
  <si>
    <t>288_May_23_ABC0030</t>
  </si>
  <si>
    <t>#452</t>
  </si>
  <si>
    <t>325_May_14_ABC0031</t>
  </si>
  <si>
    <t>#453</t>
  </si>
  <si>
    <t>418_May_30_ABC0023</t>
  </si>
  <si>
    <t>#454</t>
  </si>
  <si>
    <t>230_May_14_ABC0024</t>
  </si>
  <si>
    <t>#455</t>
  </si>
  <si>
    <t>261_May_22_ABC0025</t>
  </si>
  <si>
    <t>#456</t>
  </si>
  <si>
    <t>365_May_15_ABC0026</t>
  </si>
  <si>
    <t>#457</t>
  </si>
  <si>
    <t>451_May_21_ABC0027</t>
  </si>
  <si>
    <t>#458</t>
  </si>
  <si>
    <t>329_May_17_ABC0028</t>
  </si>
  <si>
    <t>#459</t>
  </si>
  <si>
    <t>411_May_19_ABC0031</t>
  </si>
  <si>
    <t>#460</t>
  </si>
  <si>
    <t>405_May_1_ABC0023</t>
  </si>
  <si>
    <t>#461</t>
  </si>
  <si>
    <t>490_May_10_ABC0024</t>
  </si>
  <si>
    <t>#462</t>
  </si>
  <si>
    <t>221_May_6_ABC0025</t>
  </si>
  <si>
    <t>#463</t>
  </si>
  <si>
    <t>247_May_8_ABC0026</t>
  </si>
  <si>
    <t>#464</t>
  </si>
  <si>
    <t>373_May_4_ABC0027</t>
  </si>
  <si>
    <t>#465</t>
  </si>
  <si>
    <t>392_May_13_ABC0028</t>
  </si>
  <si>
    <t>#466</t>
  </si>
  <si>
    <t>239_May_18_ABC0031</t>
  </si>
  <si>
    <t>#467</t>
  </si>
  <si>
    <t>215_May_5_ABC0023</t>
  </si>
  <si>
    <t>#468</t>
  </si>
  <si>
    <t>465_May_20_ABC0024</t>
  </si>
  <si>
    <t>#469</t>
  </si>
  <si>
    <t>264_May_1_ABC0025</t>
  </si>
  <si>
    <t>#470</t>
  </si>
  <si>
    <t>243_May_13_ABC0026</t>
  </si>
  <si>
    <t>#471</t>
  </si>
  <si>
    <t>308_May_20_ABC0027</t>
  </si>
  <si>
    <t>#472</t>
  </si>
  <si>
    <t>399_May_8_ABC0028</t>
  </si>
  <si>
    <t>#473</t>
  </si>
  <si>
    <t>362_May_1_ABC0031</t>
  </si>
  <si>
    <t>#474</t>
  </si>
  <si>
    <t>376_May_14_ABC0023</t>
  </si>
  <si>
    <t>#475</t>
  </si>
  <si>
    <t>374_May_30_ABC0024</t>
  </si>
  <si>
    <t>#476</t>
  </si>
  <si>
    <t>218_May_21_ABC0025</t>
  </si>
  <si>
    <t>#477</t>
  </si>
  <si>
    <t>335_June_9_ABC0023</t>
  </si>
  <si>
    <t>#478</t>
  </si>
  <si>
    <t>331_June_15_ABC0024</t>
  </si>
  <si>
    <t>#479</t>
  </si>
  <si>
    <t>490_June_11_ABC0025</t>
  </si>
  <si>
    <t>#480</t>
  </si>
  <si>
    <t>316_June_22_ABC0026</t>
  </si>
  <si>
    <t>#481</t>
  </si>
  <si>
    <t>348_June_26_ABC0027</t>
  </si>
  <si>
    <t>#482</t>
  </si>
  <si>
    <t>484_June_18_ABC0028</t>
  </si>
  <si>
    <t>#483</t>
  </si>
  <si>
    <t>383_June_2_ABC0029</t>
  </si>
  <si>
    <t>#484</t>
  </si>
  <si>
    <t>420_June_8_ABC0030</t>
  </si>
  <si>
    <t>#485</t>
  </si>
  <si>
    <t>226_June_4_ABC0031</t>
  </si>
  <si>
    <t>#486</t>
  </si>
  <si>
    <t>339_June_16_ABC0023</t>
  </si>
  <si>
    <t>#487</t>
  </si>
  <si>
    <t>322_June_11_ABC0024</t>
  </si>
  <si>
    <t>#488</t>
  </si>
  <si>
    <t>342_June_7_ABC0025</t>
  </si>
  <si>
    <t>#489</t>
  </si>
  <si>
    <t>231_June_5_ABC0026</t>
  </si>
  <si>
    <t>#490</t>
  </si>
  <si>
    <t>431_June_15_ABC0027</t>
  </si>
  <si>
    <t>#491</t>
  </si>
  <si>
    <t>310_June_20_ABC0028</t>
  </si>
  <si>
    <t>#492</t>
  </si>
  <si>
    <t>338_June_16_ABC0029</t>
  </si>
  <si>
    <t>#493</t>
  </si>
  <si>
    <t>431_June_17_ABC0030</t>
  </si>
  <si>
    <t>#494</t>
  </si>
  <si>
    <t>474_June_5_ABC0031</t>
  </si>
  <si>
    <t>#495</t>
  </si>
  <si>
    <t>285_June_13_ABC0023</t>
  </si>
  <si>
    <t>#496</t>
  </si>
  <si>
    <t>450_June_20_ABC0024</t>
  </si>
  <si>
    <t>#497</t>
  </si>
  <si>
    <t>256_June_8_ABC0025</t>
  </si>
  <si>
    <t>#498</t>
  </si>
  <si>
    <t>438_June_17_ABC0026</t>
  </si>
  <si>
    <t>#499</t>
  </si>
  <si>
    <t>385_June_8_ABC0023</t>
  </si>
  <si>
    <t>#500</t>
  </si>
  <si>
    <t>483_June_27_ABC0024</t>
  </si>
  <si>
    <t>#501</t>
  </si>
  <si>
    <t>313_June_28_ABC0025</t>
  </si>
  <si>
    <t>#502</t>
  </si>
  <si>
    <t>399_June_26_ABC0026</t>
  </si>
  <si>
    <t>#503</t>
  </si>
  <si>
    <t>280_June_10_ABC0027</t>
  </si>
  <si>
    <t>#504</t>
  </si>
  <si>
    <t>291_June_28_ABC0028</t>
  </si>
  <si>
    <t>#505</t>
  </si>
  <si>
    <t>310_June_30_ABC0029</t>
  </si>
  <si>
    <t>#506</t>
  </si>
  <si>
    <t>247_June_24_ABC0030</t>
  </si>
  <si>
    <t>#507</t>
  </si>
  <si>
    <t>240_June_10_ABC0031</t>
  </si>
  <si>
    <t>#508</t>
  </si>
  <si>
    <t>450_June_2_ABC0029</t>
  </si>
  <si>
    <t>#509</t>
  </si>
  <si>
    <t>305_June_8_ABC0030</t>
  </si>
  <si>
    <t>#510</t>
  </si>
  <si>
    <t>264_June_11_ABC0031</t>
  </si>
  <si>
    <t>#511</t>
  </si>
  <si>
    <t>484_June_27_ABC0027</t>
  </si>
  <si>
    <t>#512</t>
  </si>
  <si>
    <t>440_June_27_ABC0026</t>
  </si>
  <si>
    <t>#513</t>
  </si>
  <si>
    <t>226_June_9_ABC0023</t>
  </si>
  <si>
    <t>#514</t>
  </si>
  <si>
    <t>201_June_26_ABC0023</t>
  </si>
  <si>
    <t>#515</t>
  </si>
  <si>
    <t>230_June_10_ABC0023</t>
  </si>
  <si>
    <t>#516</t>
  </si>
  <si>
    <t>403_June_19_ABC0023</t>
  </si>
  <si>
    <t>#517</t>
  </si>
  <si>
    <t>235_June_22_ABC0023</t>
  </si>
  <si>
    <t>#518</t>
  </si>
  <si>
    <t>223_June_4_ABC0023</t>
  </si>
  <si>
    <t>#519</t>
  </si>
  <si>
    <t>438_June_5_ABC0023</t>
  </si>
  <si>
    <t>#520</t>
  </si>
  <si>
    <t>352_June_17_ABC0023</t>
  </si>
  <si>
    <t>#521</t>
  </si>
  <si>
    <t>307_June_14_ABC0023</t>
  </si>
  <si>
    <t>#522</t>
  </si>
  <si>
    <t>464_June_20_ABC0023</t>
  </si>
  <si>
    <t>#523</t>
  </si>
  <si>
    <t>371_June_8_ABC0023</t>
  </si>
  <si>
    <t>#524</t>
  </si>
  <si>
    <t>348_June_24_ABC0023</t>
  </si>
  <si>
    <t>#525</t>
  </si>
  <si>
    <t>433_June_14_ABC0023</t>
  </si>
  <si>
    <t>#526</t>
  </si>
  <si>
    <t>298_June_23_ABC0023</t>
  </si>
  <si>
    <t>#527</t>
  </si>
  <si>
    <t>495_June_23_ABC0023</t>
  </si>
  <si>
    <t>#528</t>
  </si>
  <si>
    <t>289_June_8_ABC0023</t>
  </si>
  <si>
    <t>#529</t>
  </si>
  <si>
    <t>414_June_20_ABC0023</t>
  </si>
  <si>
    <t>#530</t>
  </si>
  <si>
    <t>315_June_15_ABC0023</t>
  </si>
  <si>
    <t>#531</t>
  </si>
  <si>
    <t>387_June_9_ABC0023</t>
  </si>
  <si>
    <t>#532</t>
  </si>
  <si>
    <t>455_June_12_ABC0023</t>
  </si>
  <si>
    <t>#533</t>
  </si>
  <si>
    <t>294_June_11_ABC0023</t>
  </si>
  <si>
    <t>#534</t>
  </si>
  <si>
    <t>283_June_17_ABC0023</t>
  </si>
  <si>
    <t>#535</t>
  </si>
  <si>
    <t>222_June_19_ABC0023</t>
  </si>
  <si>
    <t>#536</t>
  </si>
  <si>
    <t>403_June_14_ABC0023</t>
  </si>
  <si>
    <t>#537</t>
  </si>
  <si>
    <t>286_June_6_ABC0023</t>
  </si>
  <si>
    <t>#538</t>
  </si>
  <si>
    <t>421_June_11_ABC0023</t>
  </si>
  <si>
    <t>#539</t>
  </si>
  <si>
    <t>482_June_14_ABC0023</t>
  </si>
  <si>
    <t>#540</t>
  </si>
  <si>
    <t>292_June_13_ABC0023</t>
  </si>
  <si>
    <t>#541</t>
  </si>
  <si>
    <t>445_June_1_ABC0023</t>
  </si>
  <si>
    <t>#542</t>
  </si>
  <si>
    <t>376_June_27_ABC0023</t>
  </si>
  <si>
    <t>#543</t>
  </si>
  <si>
    <t>478_June_14_ABC0023</t>
  </si>
  <si>
    <t>#544</t>
  </si>
  <si>
    <t>447_June_3_ABC0023</t>
  </si>
  <si>
    <t>#545</t>
  </si>
  <si>
    <t>231_June_9_ABC0023</t>
  </si>
  <si>
    <t>#546</t>
  </si>
  <si>
    <t>210_June_22_ABC0023</t>
  </si>
  <si>
    <t>#547</t>
  </si>
  <si>
    <t>398_June_6_ABC0023</t>
  </si>
  <si>
    <t>#548</t>
  </si>
  <si>
    <t>361_June_6_ABC0023</t>
  </si>
  <si>
    <t>#549</t>
  </si>
  <si>
    <t>325_June_19_ABC0023</t>
  </si>
  <si>
    <t>#550</t>
  </si>
  <si>
    <t>287_June_23_ABC0023</t>
  </si>
  <si>
    <t>#551</t>
  </si>
  <si>
    <t>295_June_2_ABC0023</t>
  </si>
  <si>
    <t>#552</t>
  </si>
  <si>
    <t>381_June_2_ABC0023</t>
  </si>
  <si>
    <t>#553</t>
  </si>
  <si>
    <t>481_June_16_ABC0023</t>
  </si>
  <si>
    <t>#554</t>
  </si>
  <si>
    <t>350_June_27_ABC0023</t>
  </si>
  <si>
    <t>#555</t>
  </si>
  <si>
    <t>427_June_20_ABC0023</t>
  </si>
  <si>
    <t>#556</t>
  </si>
  <si>
    <t>351_June_27_ABC0023</t>
  </si>
  <si>
    <t>#557</t>
  </si>
  <si>
    <t>493_June_23_ABC0024</t>
  </si>
  <si>
    <t>#558</t>
  </si>
  <si>
    <t>365_June_21_ABC0025</t>
  </si>
  <si>
    <t>#559</t>
  </si>
  <si>
    <t>243_June_26_ABC0026</t>
  </si>
  <si>
    <t>#560</t>
  </si>
  <si>
    <t>383_June_23_ABC0027</t>
  </si>
  <si>
    <t>#561</t>
  </si>
  <si>
    <t>305_June_3_ABC0028</t>
  </si>
  <si>
    <t>#562</t>
  </si>
  <si>
    <t>494_June_24_ABC0029</t>
  </si>
  <si>
    <t>#563</t>
  </si>
  <si>
    <t>288_June_23_ABC0030</t>
  </si>
  <si>
    <t>#564</t>
  </si>
  <si>
    <t>325_June_14_ABC0031</t>
  </si>
  <si>
    <t>#565</t>
  </si>
  <si>
    <t>418_June_30_ABC0023</t>
  </si>
  <si>
    <t>#566</t>
  </si>
  <si>
    <t>230_June_14_ABC0024</t>
  </si>
  <si>
    <t>#567</t>
  </si>
  <si>
    <t>261_June_22_ABC0025</t>
  </si>
  <si>
    <t>#568</t>
  </si>
  <si>
    <t>365_June_15_ABC0026</t>
  </si>
  <si>
    <t>#569</t>
  </si>
  <si>
    <t>451_June_21_ABC0027</t>
  </si>
  <si>
    <t>#570</t>
  </si>
  <si>
    <t>329_June_17_ABC0028</t>
  </si>
  <si>
    <t>#571</t>
  </si>
  <si>
    <t>411_June_19_ABC0031</t>
  </si>
  <si>
    <t>#572</t>
  </si>
  <si>
    <t>405_June_1_ABC0023</t>
  </si>
  <si>
    <t>#573</t>
  </si>
  <si>
    <t>490_June_10_ABC0024</t>
  </si>
  <si>
    <t>#574</t>
  </si>
  <si>
    <t>221_June_6_ABC0025</t>
  </si>
  <si>
    <t>#575</t>
  </si>
  <si>
    <t>247_June_8_ABC0026</t>
  </si>
  <si>
    <t>#576</t>
  </si>
  <si>
    <t>373_June_4_ABC0027</t>
  </si>
  <si>
    <t>#577</t>
  </si>
  <si>
    <t>392_June_13_ABC0028</t>
  </si>
  <si>
    <t>#578</t>
  </si>
  <si>
    <t>239_June_18_ABC0031</t>
  </si>
  <si>
    <t>#579</t>
  </si>
  <si>
    <t>215_June_5_ABC0023</t>
  </si>
  <si>
    <t>#580</t>
  </si>
  <si>
    <t>465_June_20_ABC0024</t>
  </si>
  <si>
    <t>#581</t>
  </si>
  <si>
    <t>264_June_1_ABC0025</t>
  </si>
  <si>
    <t>#582</t>
  </si>
  <si>
    <t>243_June_13_ABC0026</t>
  </si>
  <si>
    <t>#583</t>
  </si>
  <si>
    <t>308_June_20_ABC0027</t>
  </si>
  <si>
    <t>#584</t>
  </si>
  <si>
    <t>399_June_8_ABC0028</t>
  </si>
  <si>
    <t>#585</t>
  </si>
  <si>
    <t>362_June_1_ABC0031</t>
  </si>
  <si>
    <t>#586</t>
  </si>
  <si>
    <t>376_June_14_ABC0023</t>
  </si>
  <si>
    <t>#587</t>
  </si>
  <si>
    <t>374_June_30_ABC0024</t>
  </si>
  <si>
    <t>#588</t>
  </si>
  <si>
    <t>218_June_21_ABC0025</t>
  </si>
  <si>
    <t>Type of Customer</t>
  </si>
  <si>
    <t>Discount on list price</t>
  </si>
  <si>
    <t>Wholesale</t>
  </si>
  <si>
    <t>Stockist</t>
  </si>
  <si>
    <t>Retailer</t>
  </si>
  <si>
    <t>Category</t>
  </si>
  <si>
    <t>List Price per unit</t>
  </si>
  <si>
    <t>Cosmetic</t>
  </si>
  <si>
    <t>Shoes</t>
  </si>
  <si>
    <t>Clothes</t>
  </si>
  <si>
    <t>Quarterly Sales Target</t>
  </si>
  <si>
    <t>Q1</t>
  </si>
  <si>
    <t>Q2</t>
  </si>
  <si>
    <t>Manager's Target</t>
  </si>
  <si>
    <t>Sale Manager</t>
  </si>
  <si>
    <t>Manager id</t>
  </si>
  <si>
    <t>Total</t>
  </si>
  <si>
    <t>Gurumaan R</t>
  </si>
  <si>
    <t>ABC0023</t>
  </si>
  <si>
    <t>Rohan Sharma</t>
  </si>
  <si>
    <t>ABC0024</t>
  </si>
  <si>
    <t>Priya Patel</t>
  </si>
  <si>
    <t>ABC0025</t>
  </si>
  <si>
    <t>Aryan Singh</t>
  </si>
  <si>
    <t>ABC0026</t>
  </si>
  <si>
    <t>Neha Gupta</t>
  </si>
  <si>
    <t>ABC0027</t>
  </si>
  <si>
    <t>Rajiv Kumar</t>
  </si>
  <si>
    <t>ABC0028</t>
  </si>
  <si>
    <t>Anjali Desai</t>
  </si>
  <si>
    <t>ABC0029</t>
  </si>
  <si>
    <t>Akshay Verma</t>
  </si>
  <si>
    <t>ABC0030</t>
  </si>
  <si>
    <t>Swati Choudhury</t>
  </si>
  <si>
    <t>ABC0031</t>
  </si>
  <si>
    <t>Units</t>
  </si>
  <si>
    <t>Month</t>
  </si>
  <si>
    <t>Date</t>
  </si>
  <si>
    <t>Manager ID</t>
  </si>
  <si>
    <t>List Price</t>
  </si>
  <si>
    <t>Sales (List Price)</t>
  </si>
  <si>
    <t>Discount</t>
  </si>
  <si>
    <t>Discount Price</t>
  </si>
  <si>
    <t>Net Sales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</si>
</sst>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FFFFFF"/>
      <name val="Söhne"/>
    </font>
    <font>
      <color rgb="FFFFFFFF"/>
      <name val="Arial"/>
      <scheme val="minor"/>
    </font>
    <font/>
    <font>
      <b/>
      <color rgb="FFFFFFFF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3" numFmtId="0" xfId="0" applyFont="1"/>
    <xf borderId="1" fillId="2" fontId="1" numFmtId="0" xfId="0" applyAlignment="1" applyBorder="1" applyFont="1">
      <alignment readingOrder="0"/>
    </xf>
    <xf borderId="1" fillId="3" fontId="3" numFmtId="0" xfId="0" applyBorder="1" applyFont="1"/>
    <xf borderId="1" fillId="3" fontId="3" numFmtId="0" xfId="0" applyAlignment="1" applyBorder="1" applyFont="1">
      <alignment readingOrder="0"/>
    </xf>
    <xf borderId="1" fillId="3" fontId="3" numFmtId="9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2" fillId="2" fontId="1" numFmtId="0" xfId="0" applyAlignment="1" applyBorder="1" applyFont="1">
      <alignment horizontal="center" readingOrder="0"/>
    </xf>
    <xf borderId="2" fillId="0" fontId="4" numFmtId="0" xfId="0" applyBorder="1" applyFont="1"/>
    <xf borderId="3" fillId="4" fontId="5" numFmtId="0" xfId="0" applyAlignment="1" applyBorder="1" applyFill="1" applyFont="1">
      <alignment readingOrder="0" vertical="bottom"/>
    </xf>
    <xf borderId="4" fillId="4" fontId="5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center" readingOrder="0"/>
    </xf>
    <xf borderId="5" fillId="2" fontId="1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1" fillId="3" fontId="3" numFmtId="1" xfId="0" applyAlignment="1" applyBorder="1" applyFont="1" applyNumberFormat="1">
      <alignment readingOrder="0"/>
    </xf>
    <xf borderId="1" fillId="3" fontId="3" numFmtId="1" xfId="0" applyBorder="1" applyFont="1" applyNumberFormat="1"/>
    <xf borderId="0" fillId="0" fontId="7" numFmtId="1" xfId="0" applyFont="1" applyNumberFormat="1"/>
    <xf borderId="0" fillId="0" fontId="7" numFmtId="1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7" numFmtId="0" xfId="0" applyFont="1"/>
    <xf borderId="0" fillId="0" fontId="7" numFmtId="9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3" t="s">
        <v>7</v>
      </c>
    </row>
    <row r="3">
      <c r="A3" s="2" t="s">
        <v>8</v>
      </c>
      <c r="B3" s="3" t="s">
        <v>5</v>
      </c>
      <c r="C3" s="3" t="s">
        <v>9</v>
      </c>
      <c r="D3" s="3" t="s">
        <v>10</v>
      </c>
    </row>
    <row r="4">
      <c r="A4" s="2" t="s">
        <v>11</v>
      </c>
      <c r="B4" s="3" t="s">
        <v>5</v>
      </c>
      <c r="C4" s="3" t="s">
        <v>12</v>
      </c>
      <c r="D4" s="3" t="s">
        <v>13</v>
      </c>
    </row>
    <row r="5">
      <c r="A5" s="2" t="s">
        <v>14</v>
      </c>
      <c r="B5" s="3" t="s">
        <v>5</v>
      </c>
      <c r="C5" s="3" t="s">
        <v>15</v>
      </c>
      <c r="D5" s="3" t="s">
        <v>16</v>
      </c>
    </row>
    <row r="6">
      <c r="A6" s="2" t="s">
        <v>17</v>
      </c>
      <c r="B6" s="3" t="s">
        <v>5</v>
      </c>
      <c r="C6" s="3" t="s">
        <v>18</v>
      </c>
      <c r="D6" s="3" t="s">
        <v>19</v>
      </c>
    </row>
    <row r="7">
      <c r="A7" s="2" t="s">
        <v>20</v>
      </c>
      <c r="B7" s="3" t="s">
        <v>5</v>
      </c>
      <c r="C7" s="3" t="s">
        <v>21</v>
      </c>
      <c r="D7" s="3" t="s">
        <v>22</v>
      </c>
    </row>
    <row r="8">
      <c r="A8" s="2" t="s">
        <v>23</v>
      </c>
      <c r="B8" s="3" t="s">
        <v>5</v>
      </c>
      <c r="C8" s="3" t="s">
        <v>24</v>
      </c>
      <c r="D8" s="3" t="s">
        <v>25</v>
      </c>
    </row>
    <row r="9">
      <c r="A9" s="2" t="s">
        <v>26</v>
      </c>
      <c r="B9" s="3" t="s">
        <v>5</v>
      </c>
      <c r="C9" s="3" t="s">
        <v>27</v>
      </c>
      <c r="D9" s="3" t="s">
        <v>28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0.25"/>
    <col customWidth="1" min="5" max="5" width="16.0"/>
    <col customWidth="1" min="6" max="6" width="35.0"/>
  </cols>
  <sheetData>
    <row r="1">
      <c r="A1" s="4" t="s">
        <v>3</v>
      </c>
      <c r="B1" s="4" t="s">
        <v>1204</v>
      </c>
      <c r="C1" s="4" t="s">
        <v>1205</v>
      </c>
    </row>
    <row r="2">
      <c r="A2" s="5" t="s">
        <v>7</v>
      </c>
      <c r="B2" s="6" t="s">
        <v>1206</v>
      </c>
      <c r="C2" s="7">
        <v>0.15</v>
      </c>
    </row>
    <row r="3">
      <c r="A3" s="5" t="s">
        <v>10</v>
      </c>
      <c r="B3" s="6" t="s">
        <v>1206</v>
      </c>
      <c r="C3" s="7">
        <v>0.15</v>
      </c>
    </row>
    <row r="4">
      <c r="A4" s="5" t="s">
        <v>13</v>
      </c>
      <c r="B4" s="6" t="s">
        <v>1207</v>
      </c>
      <c r="C4" s="7">
        <v>0.18</v>
      </c>
    </row>
    <row r="5">
      <c r="A5" s="5" t="s">
        <v>16</v>
      </c>
      <c r="B5" s="6" t="s">
        <v>1207</v>
      </c>
      <c r="C5" s="7">
        <v>0.18</v>
      </c>
    </row>
    <row r="6">
      <c r="A6" s="5" t="s">
        <v>19</v>
      </c>
      <c r="B6" s="6" t="s">
        <v>1208</v>
      </c>
      <c r="C6" s="7">
        <v>0.1</v>
      </c>
    </row>
    <row r="7">
      <c r="A7" s="5" t="s">
        <v>22</v>
      </c>
      <c r="B7" s="6" t="s">
        <v>1208</v>
      </c>
      <c r="C7" s="7">
        <v>0.1</v>
      </c>
    </row>
    <row r="8">
      <c r="A8" s="5" t="s">
        <v>25</v>
      </c>
      <c r="B8" s="6" t="s">
        <v>1206</v>
      </c>
      <c r="C8" s="7">
        <v>0.15</v>
      </c>
    </row>
    <row r="9">
      <c r="A9" s="5" t="s">
        <v>28</v>
      </c>
      <c r="B9" s="6" t="s">
        <v>1207</v>
      </c>
      <c r="C9" s="7">
        <v>0.18</v>
      </c>
    </row>
    <row r="10">
      <c r="A10" s="5" t="s">
        <v>31</v>
      </c>
      <c r="B10" s="6" t="s">
        <v>1208</v>
      </c>
      <c r="C10" s="7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1">
      <c r="A1" s="1" t="s">
        <v>1</v>
      </c>
      <c r="B1" s="1" t="s">
        <v>1209</v>
      </c>
      <c r="C1" s="8" t="s">
        <v>1210</v>
      </c>
    </row>
    <row r="2">
      <c r="A2" s="6" t="s">
        <v>5</v>
      </c>
      <c r="B2" s="5" t="s">
        <v>1211</v>
      </c>
      <c r="C2" s="5">
        <v>652.0</v>
      </c>
    </row>
    <row r="3">
      <c r="A3" s="6" t="s">
        <v>33</v>
      </c>
      <c r="B3" s="5" t="s">
        <v>1212</v>
      </c>
      <c r="C3" s="5">
        <v>378.0</v>
      </c>
    </row>
    <row r="4">
      <c r="A4" s="6" t="s">
        <v>60</v>
      </c>
      <c r="B4" s="5" t="s">
        <v>1213</v>
      </c>
      <c r="C4" s="5">
        <v>545.0</v>
      </c>
    </row>
    <row r="5">
      <c r="A5" s="6" t="s">
        <v>91</v>
      </c>
      <c r="B5" s="5" t="s">
        <v>1211</v>
      </c>
      <c r="C5" s="5">
        <v>203.0</v>
      </c>
    </row>
    <row r="6">
      <c r="A6" s="6" t="s">
        <v>94</v>
      </c>
      <c r="B6" s="5" t="s">
        <v>1212</v>
      </c>
      <c r="C6" s="5">
        <v>131.0</v>
      </c>
    </row>
    <row r="7">
      <c r="A7" s="6" t="s">
        <v>97</v>
      </c>
      <c r="B7" s="5" t="s">
        <v>1213</v>
      </c>
      <c r="C7" s="5">
        <v>50.0</v>
      </c>
    </row>
    <row r="8">
      <c r="A8" s="6" t="s">
        <v>100</v>
      </c>
      <c r="B8" s="5" t="s">
        <v>1211</v>
      </c>
      <c r="C8" s="5">
        <v>76.0</v>
      </c>
    </row>
    <row r="9">
      <c r="A9" s="6" t="s">
        <v>103</v>
      </c>
      <c r="B9" s="5" t="s">
        <v>1212</v>
      </c>
      <c r="C9" s="5">
        <v>659.0</v>
      </c>
    </row>
    <row r="10">
      <c r="A10" s="6" t="s">
        <v>106</v>
      </c>
      <c r="B10" s="5" t="s">
        <v>1213</v>
      </c>
      <c r="C10" s="5">
        <v>286.0</v>
      </c>
    </row>
    <row r="11">
      <c r="A11" s="6" t="s">
        <v>109</v>
      </c>
      <c r="B11" s="5" t="s">
        <v>1211</v>
      </c>
      <c r="C11" s="5">
        <v>223.0</v>
      </c>
    </row>
    <row r="12">
      <c r="A12" s="6" t="s">
        <v>112</v>
      </c>
      <c r="B12" s="5" t="s">
        <v>1212</v>
      </c>
      <c r="C12" s="5">
        <v>721.0</v>
      </c>
    </row>
    <row r="13">
      <c r="A13" s="6" t="s">
        <v>115</v>
      </c>
      <c r="B13" s="5" t="s">
        <v>1213</v>
      </c>
      <c r="C13" s="5">
        <v>273.0</v>
      </c>
    </row>
    <row r="14">
      <c r="A14" s="6" t="s">
        <v>118</v>
      </c>
      <c r="B14" s="5" t="s">
        <v>1211</v>
      </c>
      <c r="C14" s="5">
        <v>151.0</v>
      </c>
    </row>
    <row r="15">
      <c r="A15" s="6" t="s">
        <v>121</v>
      </c>
      <c r="B15" s="5" t="s">
        <v>1212</v>
      </c>
      <c r="C15" s="5">
        <v>421.0</v>
      </c>
    </row>
    <row r="16">
      <c r="A16" s="6" t="s">
        <v>124</v>
      </c>
      <c r="B16" s="5" t="s">
        <v>1213</v>
      </c>
      <c r="C16" s="5">
        <v>795.0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</row>
    <row r="2">
      <c r="A2" s="11" t="s">
        <v>1209</v>
      </c>
      <c r="B2" s="12" t="s">
        <v>1215</v>
      </c>
      <c r="C2" s="12" t="s">
        <v>1216</v>
      </c>
    </row>
    <row r="3">
      <c r="A3" s="13" t="s">
        <v>1211</v>
      </c>
      <c r="B3" s="14">
        <v>1.5E7</v>
      </c>
      <c r="C3" s="14">
        <v>2.0E7</v>
      </c>
    </row>
    <row r="4">
      <c r="A4" s="13" t="s">
        <v>1212</v>
      </c>
      <c r="B4" s="14">
        <v>1.0E7</v>
      </c>
      <c r="C4" s="14">
        <v>2.0E7</v>
      </c>
    </row>
    <row r="5">
      <c r="A5" s="13" t="s">
        <v>1213</v>
      </c>
      <c r="B5" s="14">
        <v>1.8E7</v>
      </c>
      <c r="C5" s="14">
        <v>5000000.0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3.38"/>
  </cols>
  <sheetData>
    <row r="1">
      <c r="A1" s="15" t="s">
        <v>1217</v>
      </c>
    </row>
    <row r="2">
      <c r="A2" s="16" t="s">
        <v>1218</v>
      </c>
      <c r="B2" s="16" t="s">
        <v>1219</v>
      </c>
      <c r="C2" s="4" t="s">
        <v>1211</v>
      </c>
      <c r="D2" s="4" t="s">
        <v>1212</v>
      </c>
      <c r="E2" s="4" t="s">
        <v>1213</v>
      </c>
      <c r="F2" s="4" t="s">
        <v>1220</v>
      </c>
    </row>
    <row r="3">
      <c r="A3" s="17" t="s">
        <v>1221</v>
      </c>
      <c r="B3" s="17" t="s">
        <v>1222</v>
      </c>
      <c r="C3" s="6">
        <v>7000000.0</v>
      </c>
      <c r="D3" s="6">
        <v>1.0E7</v>
      </c>
      <c r="E3" s="6">
        <v>9500000.0</v>
      </c>
      <c r="F3" s="5">
        <f t="shared" ref="F3:F11" si="1">SUM(C3:E3)</f>
        <v>26500000</v>
      </c>
    </row>
    <row r="4">
      <c r="A4" s="17" t="s">
        <v>1223</v>
      </c>
      <c r="B4" s="17" t="s">
        <v>1224</v>
      </c>
      <c r="C4" s="6">
        <v>1000000.0</v>
      </c>
      <c r="D4" s="6">
        <v>1500000.0</v>
      </c>
      <c r="E4" s="6">
        <v>1000000.0</v>
      </c>
      <c r="F4" s="5">
        <f t="shared" si="1"/>
        <v>3500000</v>
      </c>
    </row>
    <row r="5">
      <c r="A5" s="17" t="s">
        <v>1225</v>
      </c>
      <c r="B5" s="17" t="s">
        <v>1226</v>
      </c>
      <c r="C5" s="18">
        <v>1500000.0</v>
      </c>
      <c r="D5" s="18">
        <v>1500000.0</v>
      </c>
      <c r="E5" s="18">
        <v>1500000.0</v>
      </c>
      <c r="F5" s="19">
        <f t="shared" si="1"/>
        <v>4500000</v>
      </c>
    </row>
    <row r="6">
      <c r="A6" s="17" t="s">
        <v>1227</v>
      </c>
      <c r="B6" s="17" t="s">
        <v>1228</v>
      </c>
      <c r="C6" s="6">
        <v>2500000.0</v>
      </c>
      <c r="D6" s="6">
        <v>2000000.0</v>
      </c>
      <c r="E6" s="6">
        <v>1000000.0</v>
      </c>
      <c r="F6" s="5">
        <f t="shared" si="1"/>
        <v>5500000</v>
      </c>
    </row>
    <row r="7">
      <c r="A7" s="17" t="s">
        <v>1229</v>
      </c>
      <c r="B7" s="17" t="s">
        <v>1230</v>
      </c>
      <c r="C7" s="6">
        <v>3000000.0</v>
      </c>
      <c r="D7" s="6">
        <v>2000000.0</v>
      </c>
      <c r="E7" s="6">
        <v>2000000.0</v>
      </c>
      <c r="F7" s="5">
        <f t="shared" si="1"/>
        <v>7000000</v>
      </c>
    </row>
    <row r="8">
      <c r="A8" s="17" t="s">
        <v>1231</v>
      </c>
      <c r="B8" s="17" t="s">
        <v>1232</v>
      </c>
      <c r="C8" s="6">
        <v>2500000.0</v>
      </c>
      <c r="D8" s="6">
        <v>2500000.0</v>
      </c>
      <c r="E8" s="6">
        <v>1500000.0</v>
      </c>
      <c r="F8" s="5">
        <f t="shared" si="1"/>
        <v>6500000</v>
      </c>
    </row>
    <row r="9">
      <c r="A9" s="17" t="s">
        <v>1233</v>
      </c>
      <c r="B9" s="17" t="s">
        <v>1234</v>
      </c>
      <c r="C9" s="6">
        <v>5000000.0</v>
      </c>
      <c r="D9" s="6">
        <v>5000000.0</v>
      </c>
      <c r="E9" s="6">
        <v>3000000.0</v>
      </c>
      <c r="F9" s="5">
        <f t="shared" si="1"/>
        <v>13000000</v>
      </c>
    </row>
    <row r="10">
      <c r="A10" s="17" t="s">
        <v>1235</v>
      </c>
      <c r="B10" s="17" t="s">
        <v>1236</v>
      </c>
      <c r="C10" s="6">
        <v>4000000.0</v>
      </c>
      <c r="D10" s="6">
        <v>4000000.0</v>
      </c>
      <c r="E10" s="6">
        <v>2000000.0</v>
      </c>
      <c r="F10" s="5">
        <f t="shared" si="1"/>
        <v>10000000</v>
      </c>
    </row>
    <row r="11">
      <c r="A11" s="17" t="s">
        <v>1237</v>
      </c>
      <c r="B11" s="17" t="s">
        <v>1238</v>
      </c>
      <c r="C11" s="6">
        <v>8500000.0</v>
      </c>
      <c r="D11" s="6">
        <v>1500000.0</v>
      </c>
      <c r="E11" s="6">
        <v>1500000.0</v>
      </c>
      <c r="F11" s="5">
        <f t="shared" si="1"/>
        <v>11500000</v>
      </c>
    </row>
    <row r="18">
      <c r="F18" s="20"/>
      <c r="G18" s="20"/>
      <c r="H18" s="20"/>
    </row>
    <row r="19">
      <c r="F19" s="20"/>
      <c r="G19" s="20"/>
      <c r="H19" s="20"/>
      <c r="J19" s="21"/>
    </row>
    <row r="20">
      <c r="F20" s="20"/>
      <c r="G20" s="20"/>
      <c r="H20" s="20"/>
    </row>
    <row r="21">
      <c r="F21" s="20"/>
      <c r="G21" s="20"/>
      <c r="H21" s="20"/>
    </row>
    <row r="22">
      <c r="F22" s="20"/>
      <c r="G22" s="20"/>
      <c r="H22" s="20"/>
    </row>
    <row r="23">
      <c r="F23" s="20"/>
      <c r="G23" s="20"/>
      <c r="H23" s="20"/>
    </row>
    <row r="24">
      <c r="F24" s="20"/>
      <c r="G24" s="20"/>
      <c r="H24" s="20"/>
    </row>
    <row r="25">
      <c r="F25" s="20"/>
      <c r="G25" s="20"/>
      <c r="H25" s="20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11" max="11" width="15.5"/>
    <col customWidth="1" min="14" max="1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1239</v>
      </c>
      <c r="F1" s="22" t="s">
        <v>1240</v>
      </c>
      <c r="G1" s="22" t="s">
        <v>1241</v>
      </c>
      <c r="H1" s="22" t="s">
        <v>1242</v>
      </c>
      <c r="I1" s="22" t="s">
        <v>1239</v>
      </c>
      <c r="J1" s="22" t="s">
        <v>1243</v>
      </c>
      <c r="K1" s="22" t="s">
        <v>1244</v>
      </c>
      <c r="L1" s="22" t="s">
        <v>1245</v>
      </c>
      <c r="M1" s="22" t="s">
        <v>1246</v>
      </c>
      <c r="N1" s="22" t="s">
        <v>1247</v>
      </c>
    </row>
    <row r="2">
      <c r="A2" s="2" t="s">
        <v>4</v>
      </c>
      <c r="B2" s="3" t="s">
        <v>5</v>
      </c>
      <c r="C2" s="3" t="s">
        <v>6</v>
      </c>
      <c r="D2" s="3" t="s">
        <v>7</v>
      </c>
      <c r="E2" s="23">
        <f>IFERROR(__xludf.DUMMYFUNCTION("SPLIT(C2,""_"")"),226.0)</f>
        <v>226</v>
      </c>
      <c r="F2" s="23" t="str">
        <f>IFERROR(__xludf.DUMMYFUNCTION("""COMPUTED_VALUE"""),"January")</f>
        <v>January</v>
      </c>
      <c r="G2" s="23">
        <f>IFERROR(__xludf.DUMMYFUNCTION("""COMPUTED_VALUE"""),18.0)</f>
        <v>18</v>
      </c>
      <c r="H2" s="23" t="str">
        <f>IFERROR(__xludf.DUMMYFUNCTION("""COMPUTED_VALUE"""),"ABC0023")</f>
        <v>ABC0023</v>
      </c>
      <c r="I2" s="23">
        <f t="shared" ref="I2:I589" si="1">VALUE(E2)</f>
        <v>226</v>
      </c>
      <c r="J2" s="23">
        <f>Vlookup(B2,Product_Tab!$A$2:$C$16,3,FALSE)</f>
        <v>652</v>
      </c>
      <c r="K2" s="23">
        <f t="shared" ref="K2:K589" si="2">I2*J2</f>
        <v>147352</v>
      </c>
      <c r="L2" s="24">
        <f>Vlookup(D2,Customer_Tab!$A$2:$C$10,3,FALSE)</f>
        <v>0.15</v>
      </c>
      <c r="M2" s="23">
        <f t="shared" ref="M2:M589" si="3">K2*L2</f>
        <v>22102.8</v>
      </c>
      <c r="N2" s="25">
        <f t="shared" ref="N2:N589" si="4">K2-M2</f>
        <v>125249.2</v>
      </c>
    </row>
    <row r="3">
      <c r="A3" s="2" t="s">
        <v>8</v>
      </c>
      <c r="B3" s="3" t="s">
        <v>5</v>
      </c>
      <c r="C3" s="3" t="s">
        <v>9</v>
      </c>
      <c r="D3" s="3" t="s">
        <v>10</v>
      </c>
      <c r="E3" s="23">
        <f>IFERROR(__xludf.DUMMYFUNCTION("SPLIT(C3,""_"")"),260.0)</f>
        <v>260</v>
      </c>
      <c r="F3" s="23" t="str">
        <f>IFERROR(__xludf.DUMMYFUNCTION("""COMPUTED_VALUE"""),"January")</f>
        <v>January</v>
      </c>
      <c r="G3" s="23">
        <f>IFERROR(__xludf.DUMMYFUNCTION("""COMPUTED_VALUE"""),18.0)</f>
        <v>18</v>
      </c>
      <c r="H3" s="23" t="str">
        <f>IFERROR(__xludf.DUMMYFUNCTION("""COMPUTED_VALUE"""),"ABC0024")</f>
        <v>ABC0024</v>
      </c>
      <c r="I3" s="23">
        <f t="shared" si="1"/>
        <v>260</v>
      </c>
      <c r="J3" s="23">
        <f>Vlookup(B3,Product_Tab!$A$2:$C$16,3,FALSE)</f>
        <v>652</v>
      </c>
      <c r="K3" s="23">
        <f t="shared" si="2"/>
        <v>169520</v>
      </c>
      <c r="L3" s="24">
        <f>Vlookup(D3,Customer_Tab!$A$2:$C$10,3,FALSE)</f>
        <v>0.15</v>
      </c>
      <c r="M3" s="23">
        <f t="shared" si="3"/>
        <v>25428</v>
      </c>
      <c r="N3" s="25">
        <f t="shared" si="4"/>
        <v>144092</v>
      </c>
    </row>
    <row r="4">
      <c r="A4" s="2" t="s">
        <v>11</v>
      </c>
      <c r="B4" s="3" t="s">
        <v>5</v>
      </c>
      <c r="C4" s="3" t="s">
        <v>12</v>
      </c>
      <c r="D4" s="3" t="s">
        <v>13</v>
      </c>
      <c r="E4" s="23">
        <f>IFERROR(__xludf.DUMMYFUNCTION("SPLIT(C4,""_"")"),425.0)</f>
        <v>425</v>
      </c>
      <c r="F4" s="23" t="str">
        <f>IFERROR(__xludf.DUMMYFUNCTION("""COMPUTED_VALUE"""),"January")</f>
        <v>January</v>
      </c>
      <c r="G4" s="23">
        <f>IFERROR(__xludf.DUMMYFUNCTION("""COMPUTED_VALUE"""),27.0)</f>
        <v>27</v>
      </c>
      <c r="H4" s="23" t="str">
        <f>IFERROR(__xludf.DUMMYFUNCTION("""COMPUTED_VALUE"""),"ABC0025")</f>
        <v>ABC0025</v>
      </c>
      <c r="I4" s="23">
        <f t="shared" si="1"/>
        <v>425</v>
      </c>
      <c r="J4" s="23">
        <f>Vlookup(B4,Product_Tab!$A$2:$C$16,3,FALSE)</f>
        <v>652</v>
      </c>
      <c r="K4" s="23">
        <f t="shared" si="2"/>
        <v>277100</v>
      </c>
      <c r="L4" s="24">
        <f>Vlookup(D4,Customer_Tab!$A$2:$C$10,3,FALSE)</f>
        <v>0.18</v>
      </c>
      <c r="M4" s="23">
        <f t="shared" si="3"/>
        <v>49878</v>
      </c>
      <c r="N4" s="25">
        <f t="shared" si="4"/>
        <v>227222</v>
      </c>
    </row>
    <row r="5">
      <c r="A5" s="2" t="s">
        <v>14</v>
      </c>
      <c r="B5" s="3" t="s">
        <v>5</v>
      </c>
      <c r="C5" s="3" t="s">
        <v>15</v>
      </c>
      <c r="D5" s="3" t="s">
        <v>16</v>
      </c>
      <c r="E5" s="23">
        <f>IFERROR(__xludf.DUMMYFUNCTION("SPLIT(C5,""_"")"),274.0)</f>
        <v>274</v>
      </c>
      <c r="F5" s="23" t="str">
        <f>IFERROR(__xludf.DUMMYFUNCTION("""COMPUTED_VALUE"""),"January")</f>
        <v>January</v>
      </c>
      <c r="G5" s="23">
        <f>IFERROR(__xludf.DUMMYFUNCTION("""COMPUTED_VALUE"""),30.0)</f>
        <v>30</v>
      </c>
      <c r="H5" s="23" t="str">
        <f>IFERROR(__xludf.DUMMYFUNCTION("""COMPUTED_VALUE"""),"ABC0026")</f>
        <v>ABC0026</v>
      </c>
      <c r="I5" s="23">
        <f t="shared" si="1"/>
        <v>274</v>
      </c>
      <c r="J5" s="23">
        <f>Vlookup(B5,Product_Tab!$A$2:$C$16,3,FALSE)</f>
        <v>652</v>
      </c>
      <c r="K5" s="23">
        <f t="shared" si="2"/>
        <v>178648</v>
      </c>
      <c r="L5" s="24">
        <f>Vlookup(D5,Customer_Tab!$A$2:$C$10,3,FALSE)</f>
        <v>0.18</v>
      </c>
      <c r="M5" s="23">
        <f t="shared" si="3"/>
        <v>32156.64</v>
      </c>
      <c r="N5" s="25">
        <f t="shared" si="4"/>
        <v>146491.36</v>
      </c>
    </row>
    <row r="6">
      <c r="A6" s="2" t="s">
        <v>17</v>
      </c>
      <c r="B6" s="3" t="s">
        <v>5</v>
      </c>
      <c r="C6" s="3" t="s">
        <v>18</v>
      </c>
      <c r="D6" s="3" t="s">
        <v>19</v>
      </c>
      <c r="E6" s="23">
        <f>IFERROR(__xludf.DUMMYFUNCTION("SPLIT(C6,""_"")"),212.0)</f>
        <v>212</v>
      </c>
      <c r="F6" s="23" t="str">
        <f>IFERROR(__xludf.DUMMYFUNCTION("""COMPUTED_VALUE"""),"January")</f>
        <v>January</v>
      </c>
      <c r="G6" s="23">
        <f>IFERROR(__xludf.DUMMYFUNCTION("""COMPUTED_VALUE"""),1.0)</f>
        <v>1</v>
      </c>
      <c r="H6" s="23" t="str">
        <f>IFERROR(__xludf.DUMMYFUNCTION("""COMPUTED_VALUE"""),"ABC0027")</f>
        <v>ABC0027</v>
      </c>
      <c r="I6" s="23">
        <f t="shared" si="1"/>
        <v>212</v>
      </c>
      <c r="J6" s="23">
        <f>Vlookup(B6,Product_Tab!$A$2:$C$16,3,FALSE)</f>
        <v>652</v>
      </c>
      <c r="K6" s="23">
        <f t="shared" si="2"/>
        <v>138224</v>
      </c>
      <c r="L6" s="24">
        <f>Vlookup(D6,Customer_Tab!$A$2:$C$10,3,FALSE)</f>
        <v>0.1</v>
      </c>
      <c r="M6" s="23">
        <f t="shared" si="3"/>
        <v>13822.4</v>
      </c>
      <c r="N6" s="25">
        <f t="shared" si="4"/>
        <v>124401.6</v>
      </c>
    </row>
    <row r="7">
      <c r="A7" s="2" t="s">
        <v>20</v>
      </c>
      <c r="B7" s="3" t="s">
        <v>5</v>
      </c>
      <c r="C7" s="3" t="s">
        <v>21</v>
      </c>
      <c r="D7" s="3" t="s">
        <v>22</v>
      </c>
      <c r="E7" s="23">
        <f>IFERROR(__xludf.DUMMYFUNCTION("SPLIT(C7,""_"")"),363.0)</f>
        <v>363</v>
      </c>
      <c r="F7" s="23" t="str">
        <f>IFERROR(__xludf.DUMMYFUNCTION("""COMPUTED_VALUE"""),"January")</f>
        <v>January</v>
      </c>
      <c r="G7" s="23">
        <f>IFERROR(__xludf.DUMMYFUNCTION("""COMPUTED_VALUE"""),12.0)</f>
        <v>12</v>
      </c>
      <c r="H7" s="23" t="str">
        <f>IFERROR(__xludf.DUMMYFUNCTION("""COMPUTED_VALUE"""),"ABC0028")</f>
        <v>ABC0028</v>
      </c>
      <c r="I7" s="23">
        <f t="shared" si="1"/>
        <v>363</v>
      </c>
      <c r="J7" s="23">
        <f>Vlookup(B7,Product_Tab!$A$2:$C$16,3,FALSE)</f>
        <v>652</v>
      </c>
      <c r="K7" s="23">
        <f t="shared" si="2"/>
        <v>236676</v>
      </c>
      <c r="L7" s="24">
        <f>Vlookup(D7,Customer_Tab!$A$2:$C$10,3,FALSE)</f>
        <v>0.1</v>
      </c>
      <c r="M7" s="23">
        <f t="shared" si="3"/>
        <v>23667.6</v>
      </c>
      <c r="N7" s="25">
        <f t="shared" si="4"/>
        <v>213008.4</v>
      </c>
    </row>
    <row r="8">
      <c r="A8" s="2" t="s">
        <v>23</v>
      </c>
      <c r="B8" s="3" t="s">
        <v>5</v>
      </c>
      <c r="C8" s="3" t="s">
        <v>24</v>
      </c>
      <c r="D8" s="3" t="s">
        <v>25</v>
      </c>
      <c r="E8" s="23">
        <f>IFERROR(__xludf.DUMMYFUNCTION("SPLIT(C8,""_"")"),256.0)</f>
        <v>256</v>
      </c>
      <c r="F8" s="23" t="str">
        <f>IFERROR(__xludf.DUMMYFUNCTION("""COMPUTED_VALUE"""),"January")</f>
        <v>January</v>
      </c>
      <c r="G8" s="23">
        <f>IFERROR(__xludf.DUMMYFUNCTION("""COMPUTED_VALUE"""),15.0)</f>
        <v>15</v>
      </c>
      <c r="H8" s="23" t="str">
        <f>IFERROR(__xludf.DUMMYFUNCTION("""COMPUTED_VALUE"""),"ABC0029")</f>
        <v>ABC0029</v>
      </c>
      <c r="I8" s="23">
        <f t="shared" si="1"/>
        <v>256</v>
      </c>
      <c r="J8" s="23">
        <f>Vlookup(B8,Product_Tab!$A$2:$C$16,3,FALSE)</f>
        <v>652</v>
      </c>
      <c r="K8" s="23">
        <f t="shared" si="2"/>
        <v>166912</v>
      </c>
      <c r="L8" s="24">
        <f>Vlookup(D8,Customer_Tab!$A$2:$C$10,3,FALSE)</f>
        <v>0.15</v>
      </c>
      <c r="M8" s="23">
        <f t="shared" si="3"/>
        <v>25036.8</v>
      </c>
      <c r="N8" s="25">
        <f t="shared" si="4"/>
        <v>141875.2</v>
      </c>
    </row>
    <row r="9">
      <c r="A9" s="2" t="s">
        <v>26</v>
      </c>
      <c r="B9" s="3" t="s">
        <v>5</v>
      </c>
      <c r="C9" s="3" t="s">
        <v>27</v>
      </c>
      <c r="D9" s="3" t="s">
        <v>28</v>
      </c>
      <c r="E9" s="23">
        <f>IFERROR(__xludf.DUMMYFUNCTION("SPLIT(C9,""_"")"),338.0)</f>
        <v>338</v>
      </c>
      <c r="F9" s="23" t="str">
        <f>IFERROR(__xludf.DUMMYFUNCTION("""COMPUTED_VALUE"""),"January")</f>
        <v>January</v>
      </c>
      <c r="G9" s="23">
        <f>IFERROR(__xludf.DUMMYFUNCTION("""COMPUTED_VALUE"""),28.0)</f>
        <v>28</v>
      </c>
      <c r="H9" s="23" t="str">
        <f>IFERROR(__xludf.DUMMYFUNCTION("""COMPUTED_VALUE"""),"ABC0030")</f>
        <v>ABC0030</v>
      </c>
      <c r="I9" s="23">
        <f t="shared" si="1"/>
        <v>338</v>
      </c>
      <c r="J9" s="23">
        <f>Vlookup(B9,Product_Tab!$A$2:$C$16,3,FALSE)</f>
        <v>652</v>
      </c>
      <c r="K9" s="23">
        <f t="shared" si="2"/>
        <v>220376</v>
      </c>
      <c r="L9" s="24">
        <f>Vlookup(D9,Customer_Tab!$A$2:$C$10,3,FALSE)</f>
        <v>0.18</v>
      </c>
      <c r="M9" s="23">
        <f t="shared" si="3"/>
        <v>39667.68</v>
      </c>
      <c r="N9" s="25">
        <f t="shared" si="4"/>
        <v>180708.32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  <c r="E10" s="23">
        <f>IFERROR(__xludf.DUMMYFUNCTION("SPLIT(C10,""_"")"),393.0)</f>
        <v>393</v>
      </c>
      <c r="F10" s="23" t="str">
        <f>IFERROR(__xludf.DUMMYFUNCTION("""COMPUTED_VALUE"""),"January")</f>
        <v>January</v>
      </c>
      <c r="G10" s="23">
        <f>IFERROR(__xludf.DUMMYFUNCTION("""COMPUTED_VALUE"""),6.0)</f>
        <v>6</v>
      </c>
      <c r="H10" s="23" t="str">
        <f>IFERROR(__xludf.DUMMYFUNCTION("""COMPUTED_VALUE"""),"ABC0031")</f>
        <v>ABC0031</v>
      </c>
      <c r="I10" s="23">
        <f t="shared" si="1"/>
        <v>393</v>
      </c>
      <c r="J10" s="23">
        <f>Vlookup(B10,Product_Tab!$A$2:$C$16,3,FALSE)</f>
        <v>652</v>
      </c>
      <c r="K10" s="23">
        <f t="shared" si="2"/>
        <v>256236</v>
      </c>
      <c r="L10" s="24">
        <f>Vlookup(D10,Customer_Tab!$A$2:$C$10,3,FALSE)</f>
        <v>0.1</v>
      </c>
      <c r="M10" s="23">
        <f t="shared" si="3"/>
        <v>25623.6</v>
      </c>
      <c r="N10" s="25">
        <f t="shared" si="4"/>
        <v>230612.4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  <c r="E11" s="23">
        <f>IFERROR(__xludf.DUMMYFUNCTION("SPLIT(C11,""_"")"),276.0)</f>
        <v>276</v>
      </c>
      <c r="F11" s="23" t="str">
        <f>IFERROR(__xludf.DUMMYFUNCTION("""COMPUTED_VALUE"""),"January")</f>
        <v>January</v>
      </c>
      <c r="G11" s="23">
        <f>IFERROR(__xludf.DUMMYFUNCTION("""COMPUTED_VALUE"""),30.0)</f>
        <v>30</v>
      </c>
      <c r="H11" s="23" t="str">
        <f>IFERROR(__xludf.DUMMYFUNCTION("""COMPUTED_VALUE"""),"ABC0023")</f>
        <v>ABC0023</v>
      </c>
      <c r="I11" s="23">
        <f t="shared" si="1"/>
        <v>276</v>
      </c>
      <c r="J11" s="23">
        <f>Vlookup(B11,Product_Tab!$A$2:$C$16,3,FALSE)</f>
        <v>378</v>
      </c>
      <c r="K11" s="23">
        <f t="shared" si="2"/>
        <v>104328</v>
      </c>
      <c r="L11" s="24">
        <f>Vlookup(D11,Customer_Tab!$A$2:$C$10,3,FALSE)</f>
        <v>0.15</v>
      </c>
      <c r="M11" s="23">
        <f t="shared" si="3"/>
        <v>15649.2</v>
      </c>
      <c r="N11" s="25">
        <f t="shared" si="4"/>
        <v>88678.8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  <c r="E12" s="23">
        <f>IFERROR(__xludf.DUMMYFUNCTION("SPLIT(C12,""_"")"),492.0)</f>
        <v>492</v>
      </c>
      <c r="F12" s="23" t="str">
        <f>IFERROR(__xludf.DUMMYFUNCTION("""COMPUTED_VALUE"""),"January")</f>
        <v>January</v>
      </c>
      <c r="G12" s="23">
        <f>IFERROR(__xludf.DUMMYFUNCTION("""COMPUTED_VALUE"""),8.0)</f>
        <v>8</v>
      </c>
      <c r="H12" s="23" t="str">
        <f>IFERROR(__xludf.DUMMYFUNCTION("""COMPUTED_VALUE"""),"ABC0024")</f>
        <v>ABC0024</v>
      </c>
      <c r="I12" s="23">
        <f t="shared" si="1"/>
        <v>492</v>
      </c>
      <c r="J12" s="23">
        <f>Vlookup(B12,Product_Tab!$A$2:$C$16,3,FALSE)</f>
        <v>378</v>
      </c>
      <c r="K12" s="23">
        <f t="shared" si="2"/>
        <v>185976</v>
      </c>
      <c r="L12" s="24">
        <f>Vlookup(D12,Customer_Tab!$A$2:$C$10,3,FALSE)</f>
        <v>0.15</v>
      </c>
      <c r="M12" s="23">
        <f t="shared" si="3"/>
        <v>27896.4</v>
      </c>
      <c r="N12" s="25">
        <f t="shared" si="4"/>
        <v>158079.6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  <c r="E13" s="23">
        <f>IFERROR(__xludf.DUMMYFUNCTION("SPLIT(C13,""_"")"),395.0)</f>
        <v>395</v>
      </c>
      <c r="F13" s="23" t="str">
        <f>IFERROR(__xludf.DUMMYFUNCTION("""COMPUTED_VALUE"""),"January")</f>
        <v>January</v>
      </c>
      <c r="G13" s="23">
        <f>IFERROR(__xludf.DUMMYFUNCTION("""COMPUTED_VALUE"""),21.0)</f>
        <v>21</v>
      </c>
      <c r="H13" s="23" t="str">
        <f>IFERROR(__xludf.DUMMYFUNCTION("""COMPUTED_VALUE"""),"ABC0025")</f>
        <v>ABC0025</v>
      </c>
      <c r="I13" s="23">
        <f t="shared" si="1"/>
        <v>395</v>
      </c>
      <c r="J13" s="23">
        <f>Vlookup(B13,Product_Tab!$A$2:$C$16,3,FALSE)</f>
        <v>378</v>
      </c>
      <c r="K13" s="23">
        <f t="shared" si="2"/>
        <v>149310</v>
      </c>
      <c r="L13" s="24">
        <f>Vlookup(D13,Customer_Tab!$A$2:$C$10,3,FALSE)</f>
        <v>0.18</v>
      </c>
      <c r="M13" s="23">
        <f t="shared" si="3"/>
        <v>26875.8</v>
      </c>
      <c r="N13" s="25">
        <f t="shared" si="4"/>
        <v>122434.2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  <c r="E14" s="23">
        <f>IFERROR(__xludf.DUMMYFUNCTION("SPLIT(C14,""_"")"),442.0)</f>
        <v>442</v>
      </c>
      <c r="F14" s="23" t="str">
        <f>IFERROR(__xludf.DUMMYFUNCTION("""COMPUTED_VALUE"""),"January")</f>
        <v>January</v>
      </c>
      <c r="G14" s="23">
        <f>IFERROR(__xludf.DUMMYFUNCTION("""COMPUTED_VALUE"""),10.0)</f>
        <v>10</v>
      </c>
      <c r="H14" s="23" t="str">
        <f>IFERROR(__xludf.DUMMYFUNCTION("""COMPUTED_VALUE"""),"ABC0026")</f>
        <v>ABC0026</v>
      </c>
      <c r="I14" s="23">
        <f t="shared" si="1"/>
        <v>442</v>
      </c>
      <c r="J14" s="23">
        <f>Vlookup(B14,Product_Tab!$A$2:$C$16,3,FALSE)</f>
        <v>378</v>
      </c>
      <c r="K14" s="23">
        <f t="shared" si="2"/>
        <v>167076</v>
      </c>
      <c r="L14" s="24">
        <f>Vlookup(D14,Customer_Tab!$A$2:$C$10,3,FALSE)</f>
        <v>0.18</v>
      </c>
      <c r="M14" s="23">
        <f t="shared" si="3"/>
        <v>30073.68</v>
      </c>
      <c r="N14" s="25">
        <f t="shared" si="4"/>
        <v>137002.32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  <c r="E15" s="23">
        <f>IFERROR(__xludf.DUMMYFUNCTION("SPLIT(C15,""_"")"),354.0)</f>
        <v>354</v>
      </c>
      <c r="F15" s="23" t="str">
        <f>IFERROR(__xludf.DUMMYFUNCTION("""COMPUTED_VALUE"""),"January")</f>
        <v>January</v>
      </c>
      <c r="G15" s="23">
        <f>IFERROR(__xludf.DUMMYFUNCTION("""COMPUTED_VALUE"""),15.0)</f>
        <v>15</v>
      </c>
      <c r="H15" s="23" t="str">
        <f>IFERROR(__xludf.DUMMYFUNCTION("""COMPUTED_VALUE"""),"ABC0027")</f>
        <v>ABC0027</v>
      </c>
      <c r="I15" s="23">
        <f t="shared" si="1"/>
        <v>354</v>
      </c>
      <c r="J15" s="23">
        <f>Vlookup(B15,Product_Tab!$A$2:$C$16,3,FALSE)</f>
        <v>378</v>
      </c>
      <c r="K15" s="23">
        <f t="shared" si="2"/>
        <v>133812</v>
      </c>
      <c r="L15" s="24">
        <f>Vlookup(D15,Customer_Tab!$A$2:$C$10,3,FALSE)</f>
        <v>0.1</v>
      </c>
      <c r="M15" s="23">
        <f t="shared" si="3"/>
        <v>13381.2</v>
      </c>
      <c r="N15" s="25">
        <f t="shared" si="4"/>
        <v>120430.8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  <c r="E16" s="23">
        <f>IFERROR(__xludf.DUMMYFUNCTION("SPLIT(C16,""_"")"),477.0)</f>
        <v>477</v>
      </c>
      <c r="F16" s="23" t="str">
        <f>IFERROR(__xludf.DUMMYFUNCTION("""COMPUTED_VALUE"""),"January")</f>
        <v>January</v>
      </c>
      <c r="G16" s="23">
        <f>IFERROR(__xludf.DUMMYFUNCTION("""COMPUTED_VALUE"""),22.0)</f>
        <v>22</v>
      </c>
      <c r="H16" s="23" t="str">
        <f>IFERROR(__xludf.DUMMYFUNCTION("""COMPUTED_VALUE"""),"ABC0028")</f>
        <v>ABC0028</v>
      </c>
      <c r="I16" s="23">
        <f t="shared" si="1"/>
        <v>477</v>
      </c>
      <c r="J16" s="23">
        <f>Vlookup(B16,Product_Tab!$A$2:$C$16,3,FALSE)</f>
        <v>378</v>
      </c>
      <c r="K16" s="23">
        <f t="shared" si="2"/>
        <v>180306</v>
      </c>
      <c r="L16" s="24">
        <f>Vlookup(D16,Customer_Tab!$A$2:$C$10,3,FALSE)</f>
        <v>0.1</v>
      </c>
      <c r="M16" s="23">
        <f t="shared" si="3"/>
        <v>18030.6</v>
      </c>
      <c r="N16" s="25">
        <f t="shared" si="4"/>
        <v>162275.4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  <c r="E17" s="23">
        <f>IFERROR(__xludf.DUMMYFUNCTION("SPLIT(C17,""_"")"),418.0)</f>
        <v>418</v>
      </c>
      <c r="F17" s="23" t="str">
        <f>IFERROR(__xludf.DUMMYFUNCTION("""COMPUTED_VALUE"""),"January")</f>
        <v>January</v>
      </c>
      <c r="G17" s="23">
        <f>IFERROR(__xludf.DUMMYFUNCTION("""COMPUTED_VALUE"""),5.0)</f>
        <v>5</v>
      </c>
      <c r="H17" s="23" t="str">
        <f>IFERROR(__xludf.DUMMYFUNCTION("""COMPUTED_VALUE"""),"ABC0029")</f>
        <v>ABC0029</v>
      </c>
      <c r="I17" s="23">
        <f t="shared" si="1"/>
        <v>418</v>
      </c>
      <c r="J17" s="23">
        <f>Vlookup(B17,Product_Tab!$A$2:$C$16,3,FALSE)</f>
        <v>378</v>
      </c>
      <c r="K17" s="23">
        <f t="shared" si="2"/>
        <v>158004</v>
      </c>
      <c r="L17" s="24">
        <f>Vlookup(D17,Customer_Tab!$A$2:$C$10,3,FALSE)</f>
        <v>0.15</v>
      </c>
      <c r="M17" s="23">
        <f t="shared" si="3"/>
        <v>23700.6</v>
      </c>
      <c r="N17" s="25">
        <f t="shared" si="4"/>
        <v>134303.4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  <c r="E18" s="23">
        <f>IFERROR(__xludf.DUMMYFUNCTION("SPLIT(C18,""_"")"),205.0)</f>
        <v>205</v>
      </c>
      <c r="F18" s="23" t="str">
        <f>IFERROR(__xludf.DUMMYFUNCTION("""COMPUTED_VALUE"""),"January")</f>
        <v>January</v>
      </c>
      <c r="G18" s="23">
        <f>IFERROR(__xludf.DUMMYFUNCTION("""COMPUTED_VALUE"""),16.0)</f>
        <v>16</v>
      </c>
      <c r="H18" s="23" t="str">
        <f>IFERROR(__xludf.DUMMYFUNCTION("""COMPUTED_VALUE"""),"ABC0030")</f>
        <v>ABC0030</v>
      </c>
      <c r="I18" s="23">
        <f t="shared" si="1"/>
        <v>205</v>
      </c>
      <c r="J18" s="23">
        <f>Vlookup(B18,Product_Tab!$A$2:$C$16,3,FALSE)</f>
        <v>378</v>
      </c>
      <c r="K18" s="23">
        <f t="shared" si="2"/>
        <v>77490</v>
      </c>
      <c r="L18" s="24">
        <f>Vlookup(D18,Customer_Tab!$A$2:$C$10,3,FALSE)</f>
        <v>0.18</v>
      </c>
      <c r="M18" s="23">
        <f t="shared" si="3"/>
        <v>13948.2</v>
      </c>
      <c r="N18" s="25">
        <f t="shared" si="4"/>
        <v>63541.8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  <c r="E19" s="23">
        <f>IFERROR(__xludf.DUMMYFUNCTION("SPLIT(C19,""_"")"),495.0)</f>
        <v>495</v>
      </c>
      <c r="F19" s="23" t="str">
        <f>IFERROR(__xludf.DUMMYFUNCTION("""COMPUTED_VALUE"""),"January")</f>
        <v>January</v>
      </c>
      <c r="G19" s="23">
        <f>IFERROR(__xludf.DUMMYFUNCTION("""COMPUTED_VALUE"""),12.0)</f>
        <v>12</v>
      </c>
      <c r="H19" s="23" t="str">
        <f>IFERROR(__xludf.DUMMYFUNCTION("""COMPUTED_VALUE"""),"ABC0031")</f>
        <v>ABC0031</v>
      </c>
      <c r="I19" s="23">
        <f t="shared" si="1"/>
        <v>495</v>
      </c>
      <c r="J19" s="23">
        <f>Vlookup(B19,Product_Tab!$A$2:$C$16,3,FALSE)</f>
        <v>378</v>
      </c>
      <c r="K19" s="23">
        <f t="shared" si="2"/>
        <v>187110</v>
      </c>
      <c r="L19" s="24">
        <f>Vlookup(D19,Customer_Tab!$A$2:$C$10,3,FALSE)</f>
        <v>0.1</v>
      </c>
      <c r="M19" s="23">
        <f t="shared" si="3"/>
        <v>18711</v>
      </c>
      <c r="N19" s="25">
        <f t="shared" si="4"/>
        <v>168399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  <c r="E20" s="23">
        <f>IFERROR(__xludf.DUMMYFUNCTION("SPLIT(C20,""_"")"),275.0)</f>
        <v>275</v>
      </c>
      <c r="F20" s="23" t="str">
        <f>IFERROR(__xludf.DUMMYFUNCTION("""COMPUTED_VALUE"""),"January")</f>
        <v>January</v>
      </c>
      <c r="G20" s="23">
        <f>IFERROR(__xludf.DUMMYFUNCTION("""COMPUTED_VALUE"""),28.0)</f>
        <v>28</v>
      </c>
      <c r="H20" s="23" t="str">
        <f>IFERROR(__xludf.DUMMYFUNCTION("""COMPUTED_VALUE"""),"ABC0023")</f>
        <v>ABC0023</v>
      </c>
      <c r="I20" s="23">
        <f t="shared" si="1"/>
        <v>275</v>
      </c>
      <c r="J20" s="23">
        <f>Vlookup(B20,Product_Tab!$A$2:$C$16,3,FALSE)</f>
        <v>378</v>
      </c>
      <c r="K20" s="23">
        <f t="shared" si="2"/>
        <v>103950</v>
      </c>
      <c r="L20" s="24">
        <f>Vlookup(D20,Customer_Tab!$A$2:$C$10,3,FALSE)</f>
        <v>0.15</v>
      </c>
      <c r="M20" s="23">
        <f t="shared" si="3"/>
        <v>15592.5</v>
      </c>
      <c r="N20" s="25">
        <f t="shared" si="4"/>
        <v>88357.5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  <c r="E21" s="23">
        <f>IFERROR(__xludf.DUMMYFUNCTION("SPLIT(C21,""_"")"),356.0)</f>
        <v>356</v>
      </c>
      <c r="F21" s="23" t="str">
        <f>IFERROR(__xludf.DUMMYFUNCTION("""COMPUTED_VALUE"""),"January")</f>
        <v>January</v>
      </c>
      <c r="G21" s="23">
        <f>IFERROR(__xludf.DUMMYFUNCTION("""COMPUTED_VALUE"""),11.0)</f>
        <v>11</v>
      </c>
      <c r="H21" s="23" t="str">
        <f>IFERROR(__xludf.DUMMYFUNCTION("""COMPUTED_VALUE"""),"ABC0024")</f>
        <v>ABC0024</v>
      </c>
      <c r="I21" s="23">
        <f t="shared" si="1"/>
        <v>356</v>
      </c>
      <c r="J21" s="23">
        <f>Vlookup(B21,Product_Tab!$A$2:$C$16,3,FALSE)</f>
        <v>378</v>
      </c>
      <c r="K21" s="23">
        <f t="shared" si="2"/>
        <v>134568</v>
      </c>
      <c r="L21" s="24">
        <f>Vlookup(D21,Customer_Tab!$A$2:$C$10,3,FALSE)</f>
        <v>0.18</v>
      </c>
      <c r="M21" s="23">
        <f t="shared" si="3"/>
        <v>24222.24</v>
      </c>
      <c r="N21" s="25">
        <f t="shared" si="4"/>
        <v>110345.76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  <c r="E22" s="23">
        <f>IFERROR(__xludf.DUMMYFUNCTION("SPLIT(C22,""_"")"),370.0)</f>
        <v>370</v>
      </c>
      <c r="F22" s="23" t="str">
        <f>IFERROR(__xludf.DUMMYFUNCTION("""COMPUTED_VALUE"""),"January")</f>
        <v>January</v>
      </c>
      <c r="G22" s="23">
        <f>IFERROR(__xludf.DUMMYFUNCTION("""COMPUTED_VALUE"""),18.0)</f>
        <v>18</v>
      </c>
      <c r="H22" s="23" t="str">
        <f>IFERROR(__xludf.DUMMYFUNCTION("""COMPUTED_VALUE"""),"ABC0025")</f>
        <v>ABC0025</v>
      </c>
      <c r="I22" s="23">
        <f t="shared" si="1"/>
        <v>370</v>
      </c>
      <c r="J22" s="23">
        <f>Vlookup(B22,Product_Tab!$A$2:$C$16,3,FALSE)</f>
        <v>378</v>
      </c>
      <c r="K22" s="23">
        <f t="shared" si="2"/>
        <v>139860</v>
      </c>
      <c r="L22" s="24">
        <f>Vlookup(D22,Customer_Tab!$A$2:$C$10,3,FALSE)</f>
        <v>0.1</v>
      </c>
      <c r="M22" s="23">
        <f t="shared" si="3"/>
        <v>13986</v>
      </c>
      <c r="N22" s="25">
        <f t="shared" si="4"/>
        <v>125874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  <c r="E23" s="23">
        <f>IFERROR(__xludf.DUMMYFUNCTION("SPLIT(C23,""_"")"),355.0)</f>
        <v>355</v>
      </c>
      <c r="F23" s="23" t="str">
        <f>IFERROR(__xludf.DUMMYFUNCTION("""COMPUTED_VALUE"""),"January")</f>
        <v>January</v>
      </c>
      <c r="G23" s="23">
        <f>IFERROR(__xludf.DUMMYFUNCTION("""COMPUTED_VALUE"""),1.0)</f>
        <v>1</v>
      </c>
      <c r="H23" s="23" t="str">
        <f>IFERROR(__xludf.DUMMYFUNCTION("""COMPUTED_VALUE"""),"ABC0026")</f>
        <v>ABC0026</v>
      </c>
      <c r="I23" s="23">
        <f t="shared" si="1"/>
        <v>355</v>
      </c>
      <c r="J23" s="23">
        <f>Vlookup(B23,Product_Tab!$A$2:$C$16,3,FALSE)</f>
        <v>378</v>
      </c>
      <c r="K23" s="23">
        <f t="shared" si="2"/>
        <v>134190</v>
      </c>
      <c r="L23" s="24">
        <f>Vlookup(D23,Customer_Tab!$A$2:$C$10,3,FALSE)</f>
        <v>0.18</v>
      </c>
      <c r="M23" s="23">
        <f t="shared" si="3"/>
        <v>24154.2</v>
      </c>
      <c r="N23" s="25">
        <f t="shared" si="4"/>
        <v>110035.8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  <c r="E24" s="23">
        <f>IFERROR(__xludf.DUMMYFUNCTION("SPLIT(C24,""_"")"),248.0)</f>
        <v>248</v>
      </c>
      <c r="F24" s="23" t="str">
        <f>IFERROR(__xludf.DUMMYFUNCTION("""COMPUTED_VALUE"""),"January")</f>
        <v>January</v>
      </c>
      <c r="G24" s="23">
        <f>IFERROR(__xludf.DUMMYFUNCTION("""COMPUTED_VALUE"""),2.0)</f>
        <v>2</v>
      </c>
      <c r="H24" s="23" t="str">
        <f>IFERROR(__xludf.DUMMYFUNCTION("""COMPUTED_VALUE"""),"ABC0023")</f>
        <v>ABC0023</v>
      </c>
      <c r="I24" s="23">
        <f t="shared" si="1"/>
        <v>248</v>
      </c>
      <c r="J24" s="23">
        <f>Vlookup(B24,Product_Tab!$A$2:$C$16,3,FALSE)</f>
        <v>545</v>
      </c>
      <c r="K24" s="23">
        <f t="shared" si="2"/>
        <v>135160</v>
      </c>
      <c r="L24" s="24">
        <f>Vlookup(D24,Customer_Tab!$A$2:$C$10,3,FALSE)</f>
        <v>0.15</v>
      </c>
      <c r="M24" s="23">
        <f t="shared" si="3"/>
        <v>20274</v>
      </c>
      <c r="N24" s="25">
        <f t="shared" si="4"/>
        <v>114886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  <c r="E25" s="23">
        <f>IFERROR(__xludf.DUMMYFUNCTION("SPLIT(C25,""_"")"),293.0)</f>
        <v>293</v>
      </c>
      <c r="F25" s="23" t="str">
        <f>IFERROR(__xludf.DUMMYFUNCTION("""COMPUTED_VALUE"""),"January")</f>
        <v>January</v>
      </c>
      <c r="G25" s="23">
        <f>IFERROR(__xludf.DUMMYFUNCTION("""COMPUTED_VALUE"""),2.0)</f>
        <v>2</v>
      </c>
      <c r="H25" s="23" t="str">
        <f>IFERROR(__xludf.DUMMYFUNCTION("""COMPUTED_VALUE"""),"ABC0024")</f>
        <v>ABC0024</v>
      </c>
      <c r="I25" s="23">
        <f t="shared" si="1"/>
        <v>293</v>
      </c>
      <c r="J25" s="23">
        <f>Vlookup(B25,Product_Tab!$A$2:$C$16,3,FALSE)</f>
        <v>545</v>
      </c>
      <c r="K25" s="23">
        <f t="shared" si="2"/>
        <v>159685</v>
      </c>
      <c r="L25" s="24">
        <f>Vlookup(D25,Customer_Tab!$A$2:$C$10,3,FALSE)</f>
        <v>0.15</v>
      </c>
      <c r="M25" s="23">
        <f t="shared" si="3"/>
        <v>23952.75</v>
      </c>
      <c r="N25" s="25">
        <f t="shared" si="4"/>
        <v>135732.25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  <c r="E26" s="23">
        <f>IFERROR(__xludf.DUMMYFUNCTION("SPLIT(C26,""_"")"),225.0)</f>
        <v>225</v>
      </c>
      <c r="F26" s="23" t="str">
        <f>IFERROR(__xludf.DUMMYFUNCTION("""COMPUTED_VALUE"""),"January")</f>
        <v>January</v>
      </c>
      <c r="G26" s="23">
        <f>IFERROR(__xludf.DUMMYFUNCTION("""COMPUTED_VALUE"""),18.0)</f>
        <v>18</v>
      </c>
      <c r="H26" s="23" t="str">
        <f>IFERROR(__xludf.DUMMYFUNCTION("""COMPUTED_VALUE"""),"ABC0025")</f>
        <v>ABC0025</v>
      </c>
      <c r="I26" s="23">
        <f t="shared" si="1"/>
        <v>225</v>
      </c>
      <c r="J26" s="23">
        <f>Vlookup(B26,Product_Tab!$A$2:$C$16,3,FALSE)</f>
        <v>545</v>
      </c>
      <c r="K26" s="23">
        <f t="shared" si="2"/>
        <v>122625</v>
      </c>
      <c r="L26" s="24">
        <f>Vlookup(D26,Customer_Tab!$A$2:$C$10,3,FALSE)</f>
        <v>0.18</v>
      </c>
      <c r="M26" s="23">
        <f t="shared" si="3"/>
        <v>22072.5</v>
      </c>
      <c r="N26" s="25">
        <f t="shared" si="4"/>
        <v>100552.5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  <c r="E27" s="23">
        <f>IFERROR(__xludf.DUMMYFUNCTION("SPLIT(C27,""_"")"),212.0)</f>
        <v>212</v>
      </c>
      <c r="F27" s="23" t="str">
        <f>IFERROR(__xludf.DUMMYFUNCTION("""COMPUTED_VALUE"""),"January")</f>
        <v>January</v>
      </c>
      <c r="G27" s="23">
        <f>IFERROR(__xludf.DUMMYFUNCTION("""COMPUTED_VALUE"""),2.0)</f>
        <v>2</v>
      </c>
      <c r="H27" s="23" t="str">
        <f>IFERROR(__xludf.DUMMYFUNCTION("""COMPUTED_VALUE"""),"ABC0026")</f>
        <v>ABC0026</v>
      </c>
      <c r="I27" s="23">
        <f t="shared" si="1"/>
        <v>212</v>
      </c>
      <c r="J27" s="23">
        <f>Vlookup(B27,Product_Tab!$A$2:$C$16,3,FALSE)</f>
        <v>545</v>
      </c>
      <c r="K27" s="23">
        <f t="shared" si="2"/>
        <v>115540</v>
      </c>
      <c r="L27" s="24">
        <f>Vlookup(D27,Customer_Tab!$A$2:$C$10,3,FALSE)</f>
        <v>0.18</v>
      </c>
      <c r="M27" s="23">
        <f t="shared" si="3"/>
        <v>20797.2</v>
      </c>
      <c r="N27" s="25">
        <f t="shared" si="4"/>
        <v>94742.8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  <c r="E28" s="23">
        <f>IFERROR(__xludf.DUMMYFUNCTION("SPLIT(C28,""_"")"),252.0)</f>
        <v>252</v>
      </c>
      <c r="F28" s="23" t="str">
        <f>IFERROR(__xludf.DUMMYFUNCTION("""COMPUTED_VALUE"""),"January")</f>
        <v>January</v>
      </c>
      <c r="G28" s="23">
        <f>IFERROR(__xludf.DUMMYFUNCTION("""COMPUTED_VALUE"""),19.0)</f>
        <v>19</v>
      </c>
      <c r="H28" s="23" t="str">
        <f>IFERROR(__xludf.DUMMYFUNCTION("""COMPUTED_VALUE"""),"ABC0027")</f>
        <v>ABC0027</v>
      </c>
      <c r="I28" s="23">
        <f t="shared" si="1"/>
        <v>252</v>
      </c>
      <c r="J28" s="23">
        <f>Vlookup(B28,Product_Tab!$A$2:$C$16,3,FALSE)</f>
        <v>545</v>
      </c>
      <c r="K28" s="23">
        <f t="shared" si="2"/>
        <v>137340</v>
      </c>
      <c r="L28" s="24">
        <f>Vlookup(D28,Customer_Tab!$A$2:$C$10,3,FALSE)</f>
        <v>0.1</v>
      </c>
      <c r="M28" s="23">
        <f t="shared" si="3"/>
        <v>13734</v>
      </c>
      <c r="N28" s="25">
        <f t="shared" si="4"/>
        <v>123606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  <c r="E29" s="23">
        <f>IFERROR(__xludf.DUMMYFUNCTION("SPLIT(C29,""_"")"),306.0)</f>
        <v>306</v>
      </c>
      <c r="F29" s="23" t="str">
        <f>IFERROR(__xludf.DUMMYFUNCTION("""COMPUTED_VALUE"""),"January")</f>
        <v>January</v>
      </c>
      <c r="G29" s="23">
        <f>IFERROR(__xludf.DUMMYFUNCTION("""COMPUTED_VALUE"""),22.0)</f>
        <v>22</v>
      </c>
      <c r="H29" s="23" t="str">
        <f>IFERROR(__xludf.DUMMYFUNCTION("""COMPUTED_VALUE"""),"ABC0028")</f>
        <v>ABC0028</v>
      </c>
      <c r="I29" s="23">
        <f t="shared" si="1"/>
        <v>306</v>
      </c>
      <c r="J29" s="23">
        <f>Vlookup(B29,Product_Tab!$A$2:$C$16,3,FALSE)</f>
        <v>545</v>
      </c>
      <c r="K29" s="23">
        <f t="shared" si="2"/>
        <v>166770</v>
      </c>
      <c r="L29" s="24">
        <f>Vlookup(D29,Customer_Tab!$A$2:$C$10,3,FALSE)</f>
        <v>0.1</v>
      </c>
      <c r="M29" s="23">
        <f t="shared" si="3"/>
        <v>16677</v>
      </c>
      <c r="N29" s="25">
        <f t="shared" si="4"/>
        <v>150093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  <c r="E30" s="23">
        <f>IFERROR(__xludf.DUMMYFUNCTION("SPLIT(C30,""_"")"),272.0)</f>
        <v>272</v>
      </c>
      <c r="F30" s="23" t="str">
        <f>IFERROR(__xludf.DUMMYFUNCTION("""COMPUTED_VALUE"""),"January")</f>
        <v>January</v>
      </c>
      <c r="G30" s="23">
        <f>IFERROR(__xludf.DUMMYFUNCTION("""COMPUTED_VALUE"""),25.0)</f>
        <v>25</v>
      </c>
      <c r="H30" s="23" t="str">
        <f>IFERROR(__xludf.DUMMYFUNCTION("""COMPUTED_VALUE"""),"ABC0029")</f>
        <v>ABC0029</v>
      </c>
      <c r="I30" s="23">
        <f t="shared" si="1"/>
        <v>272</v>
      </c>
      <c r="J30" s="23">
        <f>Vlookup(B30,Product_Tab!$A$2:$C$16,3,FALSE)</f>
        <v>545</v>
      </c>
      <c r="K30" s="23">
        <f t="shared" si="2"/>
        <v>148240</v>
      </c>
      <c r="L30" s="24">
        <f>Vlookup(D30,Customer_Tab!$A$2:$C$10,3,FALSE)</f>
        <v>0.15</v>
      </c>
      <c r="M30" s="23">
        <f t="shared" si="3"/>
        <v>22236</v>
      </c>
      <c r="N30" s="25">
        <f t="shared" si="4"/>
        <v>126004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  <c r="E31" s="23">
        <f>IFERROR(__xludf.DUMMYFUNCTION("SPLIT(C31,""_"")"),371.0)</f>
        <v>371</v>
      </c>
      <c r="F31" s="23" t="str">
        <f>IFERROR(__xludf.DUMMYFUNCTION("""COMPUTED_VALUE"""),"January")</f>
        <v>January</v>
      </c>
      <c r="G31" s="23">
        <f>IFERROR(__xludf.DUMMYFUNCTION("""COMPUTED_VALUE"""),4.0)</f>
        <v>4</v>
      </c>
      <c r="H31" s="23" t="str">
        <f>IFERROR(__xludf.DUMMYFUNCTION("""COMPUTED_VALUE"""),"ABC0030")</f>
        <v>ABC0030</v>
      </c>
      <c r="I31" s="23">
        <f t="shared" si="1"/>
        <v>371</v>
      </c>
      <c r="J31" s="23">
        <f>Vlookup(B31,Product_Tab!$A$2:$C$16,3,FALSE)</f>
        <v>545</v>
      </c>
      <c r="K31" s="23">
        <f t="shared" si="2"/>
        <v>202195</v>
      </c>
      <c r="L31" s="24">
        <f>Vlookup(D31,Customer_Tab!$A$2:$C$10,3,FALSE)</f>
        <v>0.18</v>
      </c>
      <c r="M31" s="23">
        <f t="shared" si="3"/>
        <v>36395.1</v>
      </c>
      <c r="N31" s="25">
        <f t="shared" si="4"/>
        <v>165799.9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  <c r="E32" s="23">
        <f>IFERROR(__xludf.DUMMYFUNCTION("SPLIT(C32,""_"")"),365.0)</f>
        <v>365</v>
      </c>
      <c r="F32" s="23" t="str">
        <f>IFERROR(__xludf.DUMMYFUNCTION("""COMPUTED_VALUE"""),"January")</f>
        <v>January</v>
      </c>
      <c r="G32" s="23">
        <f>IFERROR(__xludf.DUMMYFUNCTION("""COMPUTED_VALUE"""),5.0)</f>
        <v>5</v>
      </c>
      <c r="H32" s="23" t="str">
        <f>IFERROR(__xludf.DUMMYFUNCTION("""COMPUTED_VALUE"""),"ABC0031")</f>
        <v>ABC0031</v>
      </c>
      <c r="I32" s="23">
        <f t="shared" si="1"/>
        <v>365</v>
      </c>
      <c r="J32" s="23">
        <f>Vlookup(B32,Product_Tab!$A$2:$C$16,3,FALSE)</f>
        <v>545</v>
      </c>
      <c r="K32" s="23">
        <f t="shared" si="2"/>
        <v>198925</v>
      </c>
      <c r="L32" s="24">
        <f>Vlookup(D32,Customer_Tab!$A$2:$C$10,3,FALSE)</f>
        <v>0.1</v>
      </c>
      <c r="M32" s="23">
        <f t="shared" si="3"/>
        <v>19892.5</v>
      </c>
      <c r="N32" s="25">
        <f t="shared" si="4"/>
        <v>179032.5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  <c r="E33" s="23">
        <f>IFERROR(__xludf.DUMMYFUNCTION("SPLIT(C33,""_"")"),260.0)</f>
        <v>260</v>
      </c>
      <c r="F33" s="23" t="str">
        <f>IFERROR(__xludf.DUMMYFUNCTION("""COMPUTED_VALUE"""),"January")</f>
        <v>January</v>
      </c>
      <c r="G33" s="23">
        <f>IFERROR(__xludf.DUMMYFUNCTION("""COMPUTED_VALUE"""),30.0)</f>
        <v>30</v>
      </c>
      <c r="H33" s="23" t="str">
        <f>IFERROR(__xludf.DUMMYFUNCTION("""COMPUTED_VALUE"""),"ABC0029")</f>
        <v>ABC0029</v>
      </c>
      <c r="I33" s="23">
        <f t="shared" si="1"/>
        <v>260</v>
      </c>
      <c r="J33" s="23">
        <f>Vlookup(B33,Product_Tab!$A$2:$C$16,3,FALSE)</f>
        <v>545</v>
      </c>
      <c r="K33" s="23">
        <f t="shared" si="2"/>
        <v>141700</v>
      </c>
      <c r="L33" s="24">
        <f>Vlookup(D33,Customer_Tab!$A$2:$C$10,3,FALSE)</f>
        <v>0.15</v>
      </c>
      <c r="M33" s="23">
        <f t="shared" si="3"/>
        <v>21255</v>
      </c>
      <c r="N33" s="25">
        <f t="shared" si="4"/>
        <v>120445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  <c r="E34" s="23">
        <f>IFERROR(__xludf.DUMMYFUNCTION("SPLIT(C34,""_"")"),224.0)</f>
        <v>224</v>
      </c>
      <c r="F34" s="23" t="str">
        <f>IFERROR(__xludf.DUMMYFUNCTION("""COMPUTED_VALUE"""),"January")</f>
        <v>January</v>
      </c>
      <c r="G34" s="23">
        <f>IFERROR(__xludf.DUMMYFUNCTION("""COMPUTED_VALUE"""),9.0)</f>
        <v>9</v>
      </c>
      <c r="H34" s="23" t="str">
        <f>IFERROR(__xludf.DUMMYFUNCTION("""COMPUTED_VALUE"""),"ABC0030")</f>
        <v>ABC0030</v>
      </c>
      <c r="I34" s="23">
        <f t="shared" si="1"/>
        <v>224</v>
      </c>
      <c r="J34" s="23">
        <f>Vlookup(B34,Product_Tab!$A$2:$C$16,3,FALSE)</f>
        <v>545</v>
      </c>
      <c r="K34" s="23">
        <f t="shared" si="2"/>
        <v>122080</v>
      </c>
      <c r="L34" s="24">
        <f>Vlookup(D34,Customer_Tab!$A$2:$C$10,3,FALSE)</f>
        <v>0.15</v>
      </c>
      <c r="M34" s="23">
        <f t="shared" si="3"/>
        <v>18312</v>
      </c>
      <c r="N34" s="25">
        <f t="shared" si="4"/>
        <v>103768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  <c r="E35" s="23">
        <f>IFERROR(__xludf.DUMMYFUNCTION("SPLIT(C35,""_"")"),307.0)</f>
        <v>307</v>
      </c>
      <c r="F35" s="23" t="str">
        <f>IFERROR(__xludf.DUMMYFUNCTION("""COMPUTED_VALUE"""),"January")</f>
        <v>January</v>
      </c>
      <c r="G35" s="23">
        <f>IFERROR(__xludf.DUMMYFUNCTION("""COMPUTED_VALUE"""),22.0)</f>
        <v>22</v>
      </c>
      <c r="H35" s="23" t="str">
        <f>IFERROR(__xludf.DUMMYFUNCTION("""COMPUTED_VALUE"""),"ABC0031")</f>
        <v>ABC0031</v>
      </c>
      <c r="I35" s="23">
        <f t="shared" si="1"/>
        <v>307</v>
      </c>
      <c r="J35" s="23">
        <f>Vlookup(B35,Product_Tab!$A$2:$C$16,3,FALSE)</f>
        <v>545</v>
      </c>
      <c r="K35" s="23">
        <f t="shared" si="2"/>
        <v>167315</v>
      </c>
      <c r="L35" s="24">
        <f>Vlookup(D35,Customer_Tab!$A$2:$C$10,3,FALSE)</f>
        <v>0.18</v>
      </c>
      <c r="M35" s="23">
        <f t="shared" si="3"/>
        <v>30116.7</v>
      </c>
      <c r="N35" s="25">
        <f t="shared" si="4"/>
        <v>137198.3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  <c r="E36" s="23">
        <f>IFERROR(__xludf.DUMMYFUNCTION("SPLIT(C36,""_"")"),262.0)</f>
        <v>262</v>
      </c>
      <c r="F36" s="23" t="str">
        <f>IFERROR(__xludf.DUMMYFUNCTION("""COMPUTED_VALUE"""),"January")</f>
        <v>January</v>
      </c>
      <c r="G36" s="23">
        <f>IFERROR(__xludf.DUMMYFUNCTION("""COMPUTED_VALUE"""),27.0)</f>
        <v>27</v>
      </c>
      <c r="H36" s="23" t="str">
        <f>IFERROR(__xludf.DUMMYFUNCTION("""COMPUTED_VALUE"""),"ABC0027")</f>
        <v>ABC0027</v>
      </c>
      <c r="I36" s="23">
        <f t="shared" si="1"/>
        <v>262</v>
      </c>
      <c r="J36" s="23">
        <f>Vlookup(B36,Product_Tab!$A$2:$C$16,3,FALSE)</f>
        <v>545</v>
      </c>
      <c r="K36" s="23">
        <f t="shared" si="2"/>
        <v>142790</v>
      </c>
      <c r="L36" s="24">
        <f>Vlookup(D36,Customer_Tab!$A$2:$C$10,3,FALSE)</f>
        <v>0.18</v>
      </c>
      <c r="M36" s="23">
        <f t="shared" si="3"/>
        <v>25702.2</v>
      </c>
      <c r="N36" s="25">
        <f t="shared" si="4"/>
        <v>117087.8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  <c r="E37" s="23">
        <f>IFERROR(__xludf.DUMMYFUNCTION("SPLIT(C37,""_"")"),345.0)</f>
        <v>345</v>
      </c>
      <c r="F37" s="23" t="str">
        <f>IFERROR(__xludf.DUMMYFUNCTION("""COMPUTED_VALUE"""),"January")</f>
        <v>January</v>
      </c>
      <c r="G37" s="23">
        <f>IFERROR(__xludf.DUMMYFUNCTION("""COMPUTED_VALUE"""),14.0)</f>
        <v>14</v>
      </c>
      <c r="H37" s="23" t="str">
        <f>IFERROR(__xludf.DUMMYFUNCTION("""COMPUTED_VALUE"""),"ABC0026")</f>
        <v>ABC0026</v>
      </c>
      <c r="I37" s="23">
        <f t="shared" si="1"/>
        <v>345</v>
      </c>
      <c r="J37" s="23">
        <f>Vlookup(B37,Product_Tab!$A$2:$C$16,3,FALSE)</f>
        <v>545</v>
      </c>
      <c r="K37" s="23">
        <f t="shared" si="2"/>
        <v>188025</v>
      </c>
      <c r="L37" s="24">
        <f>Vlookup(D37,Customer_Tab!$A$2:$C$10,3,FALSE)</f>
        <v>0.1</v>
      </c>
      <c r="M37" s="23">
        <f t="shared" si="3"/>
        <v>18802.5</v>
      </c>
      <c r="N37" s="25">
        <f t="shared" si="4"/>
        <v>169222.5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  <c r="E38" s="23">
        <f>IFERROR(__xludf.DUMMYFUNCTION("SPLIT(C38,""_"")"),291.0)</f>
        <v>291</v>
      </c>
      <c r="F38" s="23" t="str">
        <f>IFERROR(__xludf.DUMMYFUNCTION("""COMPUTED_VALUE"""),"January")</f>
        <v>January</v>
      </c>
      <c r="G38" s="23">
        <f>IFERROR(__xludf.DUMMYFUNCTION("""COMPUTED_VALUE"""),1.0)</f>
        <v>1</v>
      </c>
      <c r="H38" s="23" t="str">
        <f>IFERROR(__xludf.DUMMYFUNCTION("""COMPUTED_VALUE"""),"ABC0023")</f>
        <v>ABC0023</v>
      </c>
      <c r="I38" s="23">
        <f t="shared" si="1"/>
        <v>291</v>
      </c>
      <c r="J38" s="23">
        <f>Vlookup(B38,Product_Tab!$A$2:$C$16,3,FALSE)</f>
        <v>545</v>
      </c>
      <c r="K38" s="23">
        <f t="shared" si="2"/>
        <v>158595</v>
      </c>
      <c r="L38" s="24">
        <f>Vlookup(D38,Customer_Tab!$A$2:$C$10,3,FALSE)</f>
        <v>0.15</v>
      </c>
      <c r="M38" s="23">
        <f t="shared" si="3"/>
        <v>23789.25</v>
      </c>
      <c r="N38" s="25">
        <f t="shared" si="4"/>
        <v>134805.75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  <c r="E39" s="23">
        <f>IFERROR(__xludf.DUMMYFUNCTION("SPLIT(C39,""_"")"),269.0)</f>
        <v>269</v>
      </c>
      <c r="F39" s="23" t="str">
        <f>IFERROR(__xludf.DUMMYFUNCTION("""COMPUTED_VALUE"""),"January")</f>
        <v>January</v>
      </c>
      <c r="G39" s="23">
        <f>IFERROR(__xludf.DUMMYFUNCTION("""COMPUTED_VALUE"""),28.0)</f>
        <v>28</v>
      </c>
      <c r="H39" s="23" t="str">
        <f>IFERROR(__xludf.DUMMYFUNCTION("""COMPUTED_VALUE"""),"ABC0023")</f>
        <v>ABC0023</v>
      </c>
      <c r="I39" s="23">
        <f t="shared" si="1"/>
        <v>269</v>
      </c>
      <c r="J39" s="23">
        <f>Vlookup(B39,Product_Tab!$A$2:$C$16,3,FALSE)</f>
        <v>203</v>
      </c>
      <c r="K39" s="23">
        <f t="shared" si="2"/>
        <v>54607</v>
      </c>
      <c r="L39" s="24">
        <f>Vlookup(D39,Customer_Tab!$A$2:$C$10,3,FALSE)</f>
        <v>0.15</v>
      </c>
      <c r="M39" s="23">
        <f t="shared" si="3"/>
        <v>8191.05</v>
      </c>
      <c r="N39" s="25">
        <f t="shared" si="4"/>
        <v>46415.95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  <c r="E40" s="23">
        <f>IFERROR(__xludf.DUMMYFUNCTION("SPLIT(C40,""_"")"),295.0)</f>
        <v>295</v>
      </c>
      <c r="F40" s="23" t="str">
        <f>IFERROR(__xludf.DUMMYFUNCTION("""COMPUTED_VALUE"""),"January")</f>
        <v>January</v>
      </c>
      <c r="G40" s="23">
        <f>IFERROR(__xludf.DUMMYFUNCTION("""COMPUTED_VALUE"""),16.0)</f>
        <v>16</v>
      </c>
      <c r="H40" s="23" t="str">
        <f>IFERROR(__xludf.DUMMYFUNCTION("""COMPUTED_VALUE"""),"ABC0023")</f>
        <v>ABC0023</v>
      </c>
      <c r="I40" s="23">
        <f t="shared" si="1"/>
        <v>295</v>
      </c>
      <c r="J40" s="23">
        <f>Vlookup(B40,Product_Tab!$A$2:$C$16,3,FALSE)</f>
        <v>131</v>
      </c>
      <c r="K40" s="23">
        <f t="shared" si="2"/>
        <v>38645</v>
      </c>
      <c r="L40" s="24">
        <f>Vlookup(D40,Customer_Tab!$A$2:$C$10,3,FALSE)</f>
        <v>0.18</v>
      </c>
      <c r="M40" s="23">
        <f t="shared" si="3"/>
        <v>6956.1</v>
      </c>
      <c r="N40" s="25">
        <f t="shared" si="4"/>
        <v>31688.9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  <c r="E41" s="23">
        <f>IFERROR(__xludf.DUMMYFUNCTION("SPLIT(C41,""_"")"),346.0)</f>
        <v>346</v>
      </c>
      <c r="F41" s="23" t="str">
        <f>IFERROR(__xludf.DUMMYFUNCTION("""COMPUTED_VALUE"""),"January")</f>
        <v>January</v>
      </c>
      <c r="G41" s="23">
        <f>IFERROR(__xludf.DUMMYFUNCTION("""COMPUTED_VALUE"""),29.0)</f>
        <v>29</v>
      </c>
      <c r="H41" s="23" t="str">
        <f>IFERROR(__xludf.DUMMYFUNCTION("""COMPUTED_VALUE"""),"ABC0023")</f>
        <v>ABC0023</v>
      </c>
      <c r="I41" s="23">
        <f t="shared" si="1"/>
        <v>346</v>
      </c>
      <c r="J41" s="23">
        <f>Vlookup(B41,Product_Tab!$A$2:$C$16,3,FALSE)</f>
        <v>50</v>
      </c>
      <c r="K41" s="23">
        <f t="shared" si="2"/>
        <v>17300</v>
      </c>
      <c r="L41" s="24">
        <f>Vlookup(D41,Customer_Tab!$A$2:$C$10,3,FALSE)</f>
        <v>0.18</v>
      </c>
      <c r="M41" s="23">
        <f t="shared" si="3"/>
        <v>3114</v>
      </c>
      <c r="N41" s="25">
        <f t="shared" si="4"/>
        <v>14186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  <c r="E42" s="23">
        <f>IFERROR(__xludf.DUMMYFUNCTION("SPLIT(C42,""_"")"),357.0)</f>
        <v>357</v>
      </c>
      <c r="F42" s="23" t="str">
        <f>IFERROR(__xludf.DUMMYFUNCTION("""COMPUTED_VALUE"""),"January")</f>
        <v>January</v>
      </c>
      <c r="G42" s="23">
        <f>IFERROR(__xludf.DUMMYFUNCTION("""COMPUTED_VALUE"""),21.0)</f>
        <v>21</v>
      </c>
      <c r="H42" s="23" t="str">
        <f>IFERROR(__xludf.DUMMYFUNCTION("""COMPUTED_VALUE"""),"ABC0023")</f>
        <v>ABC0023</v>
      </c>
      <c r="I42" s="23">
        <f t="shared" si="1"/>
        <v>357</v>
      </c>
      <c r="J42" s="23">
        <f>Vlookup(B42,Product_Tab!$A$2:$C$16,3,FALSE)</f>
        <v>76</v>
      </c>
      <c r="K42" s="23">
        <f t="shared" si="2"/>
        <v>27132</v>
      </c>
      <c r="L42" s="24">
        <f>Vlookup(D42,Customer_Tab!$A$2:$C$10,3,FALSE)</f>
        <v>0.1</v>
      </c>
      <c r="M42" s="23">
        <f t="shared" si="3"/>
        <v>2713.2</v>
      </c>
      <c r="N42" s="25">
        <f t="shared" si="4"/>
        <v>24418.8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  <c r="E43" s="23">
        <f>IFERROR(__xludf.DUMMYFUNCTION("SPLIT(C43,""_"")"),418.0)</f>
        <v>418</v>
      </c>
      <c r="F43" s="23" t="str">
        <f>IFERROR(__xludf.DUMMYFUNCTION("""COMPUTED_VALUE"""),"January")</f>
        <v>January</v>
      </c>
      <c r="G43" s="23">
        <f>IFERROR(__xludf.DUMMYFUNCTION("""COMPUTED_VALUE"""),11.0)</f>
        <v>11</v>
      </c>
      <c r="H43" s="23" t="str">
        <f>IFERROR(__xludf.DUMMYFUNCTION("""COMPUTED_VALUE"""),"ABC0023")</f>
        <v>ABC0023</v>
      </c>
      <c r="I43" s="23">
        <f t="shared" si="1"/>
        <v>418</v>
      </c>
      <c r="J43" s="23">
        <f>Vlookup(B43,Product_Tab!$A$2:$C$16,3,FALSE)</f>
        <v>659</v>
      </c>
      <c r="K43" s="23">
        <f t="shared" si="2"/>
        <v>275462</v>
      </c>
      <c r="L43" s="24">
        <f>Vlookup(D43,Customer_Tab!$A$2:$C$10,3,FALSE)</f>
        <v>0.1</v>
      </c>
      <c r="M43" s="23">
        <f t="shared" si="3"/>
        <v>27546.2</v>
      </c>
      <c r="N43" s="25">
        <f t="shared" si="4"/>
        <v>247915.8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  <c r="E44" s="23">
        <f>IFERROR(__xludf.DUMMYFUNCTION("SPLIT(C44,""_"")"),441.0)</f>
        <v>441</v>
      </c>
      <c r="F44" s="23" t="str">
        <f>IFERROR(__xludf.DUMMYFUNCTION("""COMPUTED_VALUE"""),"January")</f>
        <v>January</v>
      </c>
      <c r="G44" s="23">
        <f>IFERROR(__xludf.DUMMYFUNCTION("""COMPUTED_VALUE"""),30.0)</f>
        <v>30</v>
      </c>
      <c r="H44" s="23" t="str">
        <f>IFERROR(__xludf.DUMMYFUNCTION("""COMPUTED_VALUE"""),"ABC0023")</f>
        <v>ABC0023</v>
      </c>
      <c r="I44" s="23">
        <f t="shared" si="1"/>
        <v>441</v>
      </c>
      <c r="J44" s="23">
        <f>Vlookup(B44,Product_Tab!$A$2:$C$16,3,FALSE)</f>
        <v>286</v>
      </c>
      <c r="K44" s="23">
        <f t="shared" si="2"/>
        <v>126126</v>
      </c>
      <c r="L44" s="24">
        <f>Vlookup(D44,Customer_Tab!$A$2:$C$10,3,FALSE)</f>
        <v>0.15</v>
      </c>
      <c r="M44" s="23">
        <f t="shared" si="3"/>
        <v>18918.9</v>
      </c>
      <c r="N44" s="25">
        <f t="shared" si="4"/>
        <v>107207.1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  <c r="E45" s="23">
        <f>IFERROR(__xludf.DUMMYFUNCTION("SPLIT(C45,""_"")"),322.0)</f>
        <v>322</v>
      </c>
      <c r="F45" s="23" t="str">
        <f>IFERROR(__xludf.DUMMYFUNCTION("""COMPUTED_VALUE"""),"January")</f>
        <v>January</v>
      </c>
      <c r="G45" s="23">
        <f>IFERROR(__xludf.DUMMYFUNCTION("""COMPUTED_VALUE"""),18.0)</f>
        <v>18</v>
      </c>
      <c r="H45" s="23" t="str">
        <f>IFERROR(__xludf.DUMMYFUNCTION("""COMPUTED_VALUE"""),"ABC0023")</f>
        <v>ABC0023</v>
      </c>
      <c r="I45" s="23">
        <f t="shared" si="1"/>
        <v>322</v>
      </c>
      <c r="J45" s="23">
        <f>Vlookup(B45,Product_Tab!$A$2:$C$16,3,FALSE)</f>
        <v>223</v>
      </c>
      <c r="K45" s="23">
        <f t="shared" si="2"/>
        <v>71806</v>
      </c>
      <c r="L45" s="24">
        <f>Vlookup(D45,Customer_Tab!$A$2:$C$10,3,FALSE)</f>
        <v>0.18</v>
      </c>
      <c r="M45" s="23">
        <f t="shared" si="3"/>
        <v>12925.08</v>
      </c>
      <c r="N45" s="25">
        <f t="shared" si="4"/>
        <v>58880.92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  <c r="E46" s="23">
        <f>IFERROR(__xludf.DUMMYFUNCTION("SPLIT(C46,""_"")"),335.0)</f>
        <v>335</v>
      </c>
      <c r="F46" s="23" t="str">
        <f>IFERROR(__xludf.DUMMYFUNCTION("""COMPUTED_VALUE"""),"January")</f>
        <v>January</v>
      </c>
      <c r="G46" s="23">
        <f>IFERROR(__xludf.DUMMYFUNCTION("""COMPUTED_VALUE"""),21.0)</f>
        <v>21</v>
      </c>
      <c r="H46" s="23" t="str">
        <f>IFERROR(__xludf.DUMMYFUNCTION("""COMPUTED_VALUE"""),"ABC0023")</f>
        <v>ABC0023</v>
      </c>
      <c r="I46" s="23">
        <f t="shared" si="1"/>
        <v>335</v>
      </c>
      <c r="J46" s="23">
        <f>Vlookup(B46,Product_Tab!$A$2:$C$16,3,FALSE)</f>
        <v>721</v>
      </c>
      <c r="K46" s="23">
        <f t="shared" si="2"/>
        <v>241535</v>
      </c>
      <c r="L46" s="24">
        <f>Vlookup(D46,Customer_Tab!$A$2:$C$10,3,FALSE)</f>
        <v>0.1</v>
      </c>
      <c r="M46" s="23">
        <f t="shared" si="3"/>
        <v>24153.5</v>
      </c>
      <c r="N46" s="25">
        <f t="shared" si="4"/>
        <v>217381.5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  <c r="E47" s="23">
        <f>IFERROR(__xludf.DUMMYFUNCTION("SPLIT(C47,""_"")"),278.0)</f>
        <v>278</v>
      </c>
      <c r="F47" s="23" t="str">
        <f>IFERROR(__xludf.DUMMYFUNCTION("""COMPUTED_VALUE"""),"January")</f>
        <v>January</v>
      </c>
      <c r="G47" s="23">
        <f>IFERROR(__xludf.DUMMYFUNCTION("""COMPUTED_VALUE"""),22.0)</f>
        <v>22</v>
      </c>
      <c r="H47" s="23" t="str">
        <f>IFERROR(__xludf.DUMMYFUNCTION("""COMPUTED_VALUE"""),"ABC0023")</f>
        <v>ABC0023</v>
      </c>
      <c r="I47" s="23">
        <f t="shared" si="1"/>
        <v>278</v>
      </c>
      <c r="J47" s="23">
        <f>Vlookup(B47,Product_Tab!$A$2:$C$16,3,FALSE)</f>
        <v>273</v>
      </c>
      <c r="K47" s="23">
        <f t="shared" si="2"/>
        <v>75894</v>
      </c>
      <c r="L47" s="24">
        <f>Vlookup(D47,Customer_Tab!$A$2:$C$10,3,FALSE)</f>
        <v>0.15</v>
      </c>
      <c r="M47" s="23">
        <f t="shared" si="3"/>
        <v>11384.1</v>
      </c>
      <c r="N47" s="25">
        <f t="shared" si="4"/>
        <v>64509.9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  <c r="E48" s="23">
        <f>IFERROR(__xludf.DUMMYFUNCTION("SPLIT(C48,""_"")"),429.0)</f>
        <v>429</v>
      </c>
      <c r="F48" s="23" t="str">
        <f>IFERROR(__xludf.DUMMYFUNCTION("""COMPUTED_VALUE"""),"January")</f>
        <v>January</v>
      </c>
      <c r="G48" s="23">
        <f>IFERROR(__xludf.DUMMYFUNCTION("""COMPUTED_VALUE"""),4.0)</f>
        <v>4</v>
      </c>
      <c r="H48" s="23" t="str">
        <f>IFERROR(__xludf.DUMMYFUNCTION("""COMPUTED_VALUE"""),"ABC0023")</f>
        <v>ABC0023</v>
      </c>
      <c r="I48" s="23">
        <f t="shared" si="1"/>
        <v>429</v>
      </c>
      <c r="J48" s="23">
        <f>Vlookup(B48,Product_Tab!$A$2:$C$16,3,FALSE)</f>
        <v>151</v>
      </c>
      <c r="K48" s="23">
        <f t="shared" si="2"/>
        <v>64779</v>
      </c>
      <c r="L48" s="24">
        <f>Vlookup(D48,Customer_Tab!$A$2:$C$10,3,FALSE)</f>
        <v>0.15</v>
      </c>
      <c r="M48" s="23">
        <f t="shared" si="3"/>
        <v>9716.85</v>
      </c>
      <c r="N48" s="25">
        <f t="shared" si="4"/>
        <v>55062.15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  <c r="E49" s="23">
        <f>IFERROR(__xludf.DUMMYFUNCTION("SPLIT(C49,""_"")"),285.0)</f>
        <v>285</v>
      </c>
      <c r="F49" s="23" t="str">
        <f>IFERROR(__xludf.DUMMYFUNCTION("""COMPUTED_VALUE"""),"January")</f>
        <v>January</v>
      </c>
      <c r="G49" s="23">
        <f>IFERROR(__xludf.DUMMYFUNCTION("""COMPUTED_VALUE"""),11.0)</f>
        <v>11</v>
      </c>
      <c r="H49" s="23" t="str">
        <f>IFERROR(__xludf.DUMMYFUNCTION("""COMPUTED_VALUE"""),"ABC0023")</f>
        <v>ABC0023</v>
      </c>
      <c r="I49" s="23">
        <f t="shared" si="1"/>
        <v>285</v>
      </c>
      <c r="J49" s="23">
        <f>Vlookup(B49,Product_Tab!$A$2:$C$16,3,FALSE)</f>
        <v>421</v>
      </c>
      <c r="K49" s="23">
        <f t="shared" si="2"/>
        <v>119985</v>
      </c>
      <c r="L49" s="24">
        <f>Vlookup(D49,Customer_Tab!$A$2:$C$10,3,FALSE)</f>
        <v>0.18</v>
      </c>
      <c r="M49" s="23">
        <f t="shared" si="3"/>
        <v>21597.3</v>
      </c>
      <c r="N49" s="25">
        <f t="shared" si="4"/>
        <v>98387.7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  <c r="E50" s="23">
        <f>IFERROR(__xludf.DUMMYFUNCTION("SPLIT(C50,""_"")"),405.0)</f>
        <v>405</v>
      </c>
      <c r="F50" s="23" t="str">
        <f>IFERROR(__xludf.DUMMYFUNCTION("""COMPUTED_VALUE"""),"January")</f>
        <v>January</v>
      </c>
      <c r="G50" s="23">
        <f>IFERROR(__xludf.DUMMYFUNCTION("""COMPUTED_VALUE"""),30.0)</f>
        <v>30</v>
      </c>
      <c r="H50" s="23" t="str">
        <f>IFERROR(__xludf.DUMMYFUNCTION("""COMPUTED_VALUE"""),"ABC0023")</f>
        <v>ABC0023</v>
      </c>
      <c r="I50" s="23">
        <f t="shared" si="1"/>
        <v>405</v>
      </c>
      <c r="J50" s="23">
        <f>Vlookup(B50,Product_Tab!$A$2:$C$16,3,FALSE)</f>
        <v>795</v>
      </c>
      <c r="K50" s="23">
        <f t="shared" si="2"/>
        <v>321975</v>
      </c>
      <c r="L50" s="24">
        <f>Vlookup(D50,Customer_Tab!$A$2:$C$10,3,FALSE)</f>
        <v>0.18</v>
      </c>
      <c r="M50" s="23">
        <f t="shared" si="3"/>
        <v>57955.5</v>
      </c>
      <c r="N50" s="25">
        <f t="shared" si="4"/>
        <v>264019.5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  <c r="E51" s="23">
        <f>IFERROR(__xludf.DUMMYFUNCTION("SPLIT(C51,""_"")"),411.0)</f>
        <v>411</v>
      </c>
      <c r="F51" s="23" t="str">
        <f>IFERROR(__xludf.DUMMYFUNCTION("""COMPUTED_VALUE"""),"January")</f>
        <v>January</v>
      </c>
      <c r="G51" s="23">
        <f>IFERROR(__xludf.DUMMYFUNCTION("""COMPUTED_VALUE"""),29.0)</f>
        <v>29</v>
      </c>
      <c r="H51" s="23" t="str">
        <f>IFERROR(__xludf.DUMMYFUNCTION("""COMPUTED_VALUE"""),"ABC0023")</f>
        <v>ABC0023</v>
      </c>
      <c r="I51" s="23">
        <f t="shared" si="1"/>
        <v>411</v>
      </c>
      <c r="J51" s="23">
        <f>Vlookup(B51,Product_Tab!$A$2:$C$16,3,FALSE)</f>
        <v>652</v>
      </c>
      <c r="K51" s="23">
        <f t="shared" si="2"/>
        <v>267972</v>
      </c>
      <c r="L51" s="24">
        <f>Vlookup(D51,Customer_Tab!$A$2:$C$10,3,FALSE)</f>
        <v>0.1</v>
      </c>
      <c r="M51" s="23">
        <f t="shared" si="3"/>
        <v>26797.2</v>
      </c>
      <c r="N51" s="25">
        <f t="shared" si="4"/>
        <v>241174.8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  <c r="E52" s="23">
        <f>IFERROR(__xludf.DUMMYFUNCTION("SPLIT(C52,""_"")"),224.0)</f>
        <v>224</v>
      </c>
      <c r="F52" s="23" t="str">
        <f>IFERROR(__xludf.DUMMYFUNCTION("""COMPUTED_VALUE"""),"January")</f>
        <v>January</v>
      </c>
      <c r="G52" s="23">
        <f>IFERROR(__xludf.DUMMYFUNCTION("""COMPUTED_VALUE"""),12.0)</f>
        <v>12</v>
      </c>
      <c r="H52" s="23" t="str">
        <f>IFERROR(__xludf.DUMMYFUNCTION("""COMPUTED_VALUE"""),"ABC0023")</f>
        <v>ABC0023</v>
      </c>
      <c r="I52" s="23">
        <f t="shared" si="1"/>
        <v>224</v>
      </c>
      <c r="J52" s="23">
        <f>Vlookup(B52,Product_Tab!$A$2:$C$16,3,FALSE)</f>
        <v>378</v>
      </c>
      <c r="K52" s="23">
        <f t="shared" si="2"/>
        <v>84672</v>
      </c>
      <c r="L52" s="24">
        <f>Vlookup(D52,Customer_Tab!$A$2:$C$10,3,FALSE)</f>
        <v>0.1</v>
      </c>
      <c r="M52" s="23">
        <f t="shared" si="3"/>
        <v>8467.2</v>
      </c>
      <c r="N52" s="25">
        <f t="shared" si="4"/>
        <v>76204.8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  <c r="E53" s="23">
        <f>IFERROR(__xludf.DUMMYFUNCTION("SPLIT(C53,""_"")"),450.0)</f>
        <v>450</v>
      </c>
      <c r="F53" s="23" t="str">
        <f>IFERROR(__xludf.DUMMYFUNCTION("""COMPUTED_VALUE"""),"January")</f>
        <v>January</v>
      </c>
      <c r="G53" s="23">
        <f>IFERROR(__xludf.DUMMYFUNCTION("""COMPUTED_VALUE"""),20.0)</f>
        <v>20</v>
      </c>
      <c r="H53" s="23" t="str">
        <f>IFERROR(__xludf.DUMMYFUNCTION("""COMPUTED_VALUE"""),"ABC0023")</f>
        <v>ABC0023</v>
      </c>
      <c r="I53" s="23">
        <f t="shared" si="1"/>
        <v>450</v>
      </c>
      <c r="J53" s="23">
        <f>Vlookup(B53,Product_Tab!$A$2:$C$16,3,FALSE)</f>
        <v>545</v>
      </c>
      <c r="K53" s="23">
        <f t="shared" si="2"/>
        <v>245250</v>
      </c>
      <c r="L53" s="24">
        <f>Vlookup(D53,Customer_Tab!$A$2:$C$10,3,FALSE)</f>
        <v>0.15</v>
      </c>
      <c r="M53" s="23">
        <f t="shared" si="3"/>
        <v>36787.5</v>
      </c>
      <c r="N53" s="25">
        <f t="shared" si="4"/>
        <v>208462.5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  <c r="E54" s="23">
        <f>IFERROR(__xludf.DUMMYFUNCTION("SPLIT(C54,""_"")"),425.0)</f>
        <v>425</v>
      </c>
      <c r="F54" s="23" t="str">
        <f>IFERROR(__xludf.DUMMYFUNCTION("""COMPUTED_VALUE"""),"January")</f>
        <v>January</v>
      </c>
      <c r="G54" s="23">
        <f>IFERROR(__xludf.DUMMYFUNCTION("""COMPUTED_VALUE"""),13.0)</f>
        <v>13</v>
      </c>
      <c r="H54" s="23" t="str">
        <f>IFERROR(__xludf.DUMMYFUNCTION("""COMPUTED_VALUE"""),"ABC0023")</f>
        <v>ABC0023</v>
      </c>
      <c r="I54" s="23">
        <f t="shared" si="1"/>
        <v>425</v>
      </c>
      <c r="J54" s="23">
        <f>Vlookup(B54,Product_Tab!$A$2:$C$16,3,FALSE)</f>
        <v>203</v>
      </c>
      <c r="K54" s="23">
        <f t="shared" si="2"/>
        <v>86275</v>
      </c>
      <c r="L54" s="24">
        <f>Vlookup(D54,Customer_Tab!$A$2:$C$10,3,FALSE)</f>
        <v>0.18</v>
      </c>
      <c r="M54" s="23">
        <f t="shared" si="3"/>
        <v>15529.5</v>
      </c>
      <c r="N54" s="25">
        <f t="shared" si="4"/>
        <v>70745.5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  <c r="E55" s="23">
        <f>IFERROR(__xludf.DUMMYFUNCTION("SPLIT(C55,""_"")"),482.0)</f>
        <v>482</v>
      </c>
      <c r="F55" s="23" t="str">
        <f>IFERROR(__xludf.DUMMYFUNCTION("""COMPUTED_VALUE"""),"January")</f>
        <v>January</v>
      </c>
      <c r="G55" s="23">
        <f>IFERROR(__xludf.DUMMYFUNCTION("""COMPUTED_VALUE"""),19.0)</f>
        <v>19</v>
      </c>
      <c r="H55" s="23" t="str">
        <f>IFERROR(__xludf.DUMMYFUNCTION("""COMPUTED_VALUE"""),"ABC0023")</f>
        <v>ABC0023</v>
      </c>
      <c r="I55" s="23">
        <f t="shared" si="1"/>
        <v>482</v>
      </c>
      <c r="J55" s="23">
        <f>Vlookup(B55,Product_Tab!$A$2:$C$16,3,FALSE)</f>
        <v>131</v>
      </c>
      <c r="K55" s="23">
        <f t="shared" si="2"/>
        <v>63142</v>
      </c>
      <c r="L55" s="24">
        <f>Vlookup(D55,Customer_Tab!$A$2:$C$10,3,FALSE)</f>
        <v>0.1</v>
      </c>
      <c r="M55" s="23">
        <f t="shared" si="3"/>
        <v>6314.2</v>
      </c>
      <c r="N55" s="25">
        <f t="shared" si="4"/>
        <v>56827.8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  <c r="E56" s="23">
        <f>IFERROR(__xludf.DUMMYFUNCTION("SPLIT(C56,""_"")"),265.0)</f>
        <v>265</v>
      </c>
      <c r="F56" s="23" t="str">
        <f>IFERROR(__xludf.DUMMYFUNCTION("""COMPUTED_VALUE"""),"January")</f>
        <v>January</v>
      </c>
      <c r="G56" s="23">
        <f>IFERROR(__xludf.DUMMYFUNCTION("""COMPUTED_VALUE"""),15.0)</f>
        <v>15</v>
      </c>
      <c r="H56" s="23" t="str">
        <f>IFERROR(__xludf.DUMMYFUNCTION("""COMPUTED_VALUE"""),"ABC0023")</f>
        <v>ABC0023</v>
      </c>
      <c r="I56" s="23">
        <f t="shared" si="1"/>
        <v>265</v>
      </c>
      <c r="J56" s="23">
        <f>Vlookup(B56,Product_Tab!$A$2:$C$16,3,FALSE)</f>
        <v>50</v>
      </c>
      <c r="K56" s="23">
        <f t="shared" si="2"/>
        <v>13250</v>
      </c>
      <c r="L56" s="24">
        <f>Vlookup(D56,Customer_Tab!$A$2:$C$10,3,FALSE)</f>
        <v>0.15</v>
      </c>
      <c r="M56" s="23">
        <f t="shared" si="3"/>
        <v>1987.5</v>
      </c>
      <c r="N56" s="25">
        <f t="shared" si="4"/>
        <v>11262.5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  <c r="E57" s="23">
        <f>IFERROR(__xludf.DUMMYFUNCTION("SPLIT(C57,""_"")"),499.0)</f>
        <v>499</v>
      </c>
      <c r="F57" s="23" t="str">
        <f>IFERROR(__xludf.DUMMYFUNCTION("""COMPUTED_VALUE"""),"January")</f>
        <v>January</v>
      </c>
      <c r="G57" s="23">
        <f>IFERROR(__xludf.DUMMYFUNCTION("""COMPUTED_VALUE"""),19.0)</f>
        <v>19</v>
      </c>
      <c r="H57" s="23" t="str">
        <f>IFERROR(__xludf.DUMMYFUNCTION("""COMPUTED_VALUE"""),"ABC0023")</f>
        <v>ABC0023</v>
      </c>
      <c r="I57" s="23">
        <f t="shared" si="1"/>
        <v>499</v>
      </c>
      <c r="J57" s="23">
        <f>Vlookup(B57,Product_Tab!$A$2:$C$16,3,FALSE)</f>
        <v>76</v>
      </c>
      <c r="K57" s="23">
        <f t="shared" si="2"/>
        <v>37924</v>
      </c>
      <c r="L57" s="24">
        <f>Vlookup(D57,Customer_Tab!$A$2:$C$10,3,FALSE)</f>
        <v>0.15</v>
      </c>
      <c r="M57" s="23">
        <f t="shared" si="3"/>
        <v>5688.6</v>
      </c>
      <c r="N57" s="25">
        <f t="shared" si="4"/>
        <v>32235.4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  <c r="E58" s="23">
        <f>IFERROR(__xludf.DUMMYFUNCTION("SPLIT(C58,""_"")"),500.0)</f>
        <v>500</v>
      </c>
      <c r="F58" s="23" t="str">
        <f>IFERROR(__xludf.DUMMYFUNCTION("""COMPUTED_VALUE"""),"January")</f>
        <v>January</v>
      </c>
      <c r="G58" s="23">
        <f>IFERROR(__xludf.DUMMYFUNCTION("""COMPUTED_VALUE"""),23.0)</f>
        <v>23</v>
      </c>
      <c r="H58" s="23" t="str">
        <f>IFERROR(__xludf.DUMMYFUNCTION("""COMPUTED_VALUE"""),"ABC0023")</f>
        <v>ABC0023</v>
      </c>
      <c r="I58" s="23">
        <f t="shared" si="1"/>
        <v>500</v>
      </c>
      <c r="J58" s="23">
        <f>Vlookup(B58,Product_Tab!$A$2:$C$16,3,FALSE)</f>
        <v>659</v>
      </c>
      <c r="K58" s="23">
        <f t="shared" si="2"/>
        <v>329500</v>
      </c>
      <c r="L58" s="24">
        <f>Vlookup(D58,Customer_Tab!$A$2:$C$10,3,FALSE)</f>
        <v>0.18</v>
      </c>
      <c r="M58" s="23">
        <f t="shared" si="3"/>
        <v>59310</v>
      </c>
      <c r="N58" s="25">
        <f t="shared" si="4"/>
        <v>270190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  <c r="E59" s="23">
        <f>IFERROR(__xludf.DUMMYFUNCTION("SPLIT(C59,""_"")"),377.0)</f>
        <v>377</v>
      </c>
      <c r="F59" s="23" t="str">
        <f>IFERROR(__xludf.DUMMYFUNCTION("""COMPUTED_VALUE"""),"January")</f>
        <v>January</v>
      </c>
      <c r="G59" s="23">
        <f>IFERROR(__xludf.DUMMYFUNCTION("""COMPUTED_VALUE"""),17.0)</f>
        <v>17</v>
      </c>
      <c r="H59" s="23" t="str">
        <f>IFERROR(__xludf.DUMMYFUNCTION("""COMPUTED_VALUE"""),"ABC0023")</f>
        <v>ABC0023</v>
      </c>
      <c r="I59" s="23">
        <f t="shared" si="1"/>
        <v>377</v>
      </c>
      <c r="J59" s="23">
        <f>Vlookup(B59,Product_Tab!$A$2:$C$16,3,FALSE)</f>
        <v>286</v>
      </c>
      <c r="K59" s="23">
        <f t="shared" si="2"/>
        <v>107822</v>
      </c>
      <c r="L59" s="24">
        <f>Vlookup(D59,Customer_Tab!$A$2:$C$10,3,FALSE)</f>
        <v>0.18</v>
      </c>
      <c r="M59" s="23">
        <f t="shared" si="3"/>
        <v>19407.96</v>
      </c>
      <c r="N59" s="25">
        <f t="shared" si="4"/>
        <v>88414.04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  <c r="E60" s="23">
        <f>IFERROR(__xludf.DUMMYFUNCTION("SPLIT(C60,""_"")"),351.0)</f>
        <v>351</v>
      </c>
      <c r="F60" s="23" t="str">
        <f>IFERROR(__xludf.DUMMYFUNCTION("""COMPUTED_VALUE"""),"January")</f>
        <v>January</v>
      </c>
      <c r="G60" s="23">
        <f>IFERROR(__xludf.DUMMYFUNCTION("""COMPUTED_VALUE"""),24.0)</f>
        <v>24</v>
      </c>
      <c r="H60" s="23" t="str">
        <f>IFERROR(__xludf.DUMMYFUNCTION("""COMPUTED_VALUE"""),"ABC0023")</f>
        <v>ABC0023</v>
      </c>
      <c r="I60" s="23">
        <f t="shared" si="1"/>
        <v>351</v>
      </c>
      <c r="J60" s="23">
        <f>Vlookup(B60,Product_Tab!$A$2:$C$16,3,FALSE)</f>
        <v>223</v>
      </c>
      <c r="K60" s="23">
        <f t="shared" si="2"/>
        <v>78273</v>
      </c>
      <c r="L60" s="24">
        <f>Vlookup(D60,Customer_Tab!$A$2:$C$10,3,FALSE)</f>
        <v>0.1</v>
      </c>
      <c r="M60" s="23">
        <f t="shared" si="3"/>
        <v>7827.3</v>
      </c>
      <c r="N60" s="25">
        <f t="shared" si="4"/>
        <v>70445.7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  <c r="E61" s="23">
        <f>IFERROR(__xludf.DUMMYFUNCTION("SPLIT(C61,""_"")"),441.0)</f>
        <v>441</v>
      </c>
      <c r="F61" s="23" t="str">
        <f>IFERROR(__xludf.DUMMYFUNCTION("""COMPUTED_VALUE"""),"January")</f>
        <v>January</v>
      </c>
      <c r="G61" s="23">
        <f>IFERROR(__xludf.DUMMYFUNCTION("""COMPUTED_VALUE"""),11.0)</f>
        <v>11</v>
      </c>
      <c r="H61" s="23" t="str">
        <f>IFERROR(__xludf.DUMMYFUNCTION("""COMPUTED_VALUE"""),"ABC0023")</f>
        <v>ABC0023</v>
      </c>
      <c r="I61" s="23">
        <f t="shared" si="1"/>
        <v>441</v>
      </c>
      <c r="J61" s="23">
        <f>Vlookup(B61,Product_Tab!$A$2:$C$16,3,FALSE)</f>
        <v>721</v>
      </c>
      <c r="K61" s="23">
        <f t="shared" si="2"/>
        <v>317961</v>
      </c>
      <c r="L61" s="24">
        <f>Vlookup(D61,Customer_Tab!$A$2:$C$10,3,FALSE)</f>
        <v>0.1</v>
      </c>
      <c r="M61" s="23">
        <f t="shared" si="3"/>
        <v>31796.1</v>
      </c>
      <c r="N61" s="25">
        <f t="shared" si="4"/>
        <v>286164.9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  <c r="E62" s="23">
        <f>IFERROR(__xludf.DUMMYFUNCTION("SPLIT(C62,""_"")"),417.0)</f>
        <v>417</v>
      </c>
      <c r="F62" s="23" t="str">
        <f>IFERROR(__xludf.DUMMYFUNCTION("""COMPUTED_VALUE"""),"January")</f>
        <v>January</v>
      </c>
      <c r="G62" s="23">
        <f>IFERROR(__xludf.DUMMYFUNCTION("""COMPUTED_VALUE"""),30.0)</f>
        <v>30</v>
      </c>
      <c r="H62" s="23" t="str">
        <f>IFERROR(__xludf.DUMMYFUNCTION("""COMPUTED_VALUE"""),"ABC0023")</f>
        <v>ABC0023</v>
      </c>
      <c r="I62" s="23">
        <f t="shared" si="1"/>
        <v>417</v>
      </c>
      <c r="J62" s="23">
        <f>Vlookup(B62,Product_Tab!$A$2:$C$16,3,FALSE)</f>
        <v>273</v>
      </c>
      <c r="K62" s="23">
        <f t="shared" si="2"/>
        <v>113841</v>
      </c>
      <c r="L62" s="24">
        <f>Vlookup(D62,Customer_Tab!$A$2:$C$10,3,FALSE)</f>
        <v>0.15</v>
      </c>
      <c r="M62" s="23">
        <f t="shared" si="3"/>
        <v>17076.15</v>
      </c>
      <c r="N62" s="25">
        <f t="shared" si="4"/>
        <v>96764.85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  <c r="E63" s="23">
        <f>IFERROR(__xludf.DUMMYFUNCTION("SPLIT(C63,""_"")"),496.0)</f>
        <v>496</v>
      </c>
      <c r="F63" s="23" t="str">
        <f>IFERROR(__xludf.DUMMYFUNCTION("""COMPUTED_VALUE"""),"January")</f>
        <v>January</v>
      </c>
      <c r="G63" s="23">
        <f>IFERROR(__xludf.DUMMYFUNCTION("""COMPUTED_VALUE"""),3.0)</f>
        <v>3</v>
      </c>
      <c r="H63" s="23" t="str">
        <f>IFERROR(__xludf.DUMMYFUNCTION("""COMPUTED_VALUE"""),"ABC0023")</f>
        <v>ABC0023</v>
      </c>
      <c r="I63" s="23">
        <f t="shared" si="1"/>
        <v>496</v>
      </c>
      <c r="J63" s="23">
        <f>Vlookup(B63,Product_Tab!$A$2:$C$16,3,FALSE)</f>
        <v>151</v>
      </c>
      <c r="K63" s="23">
        <f t="shared" si="2"/>
        <v>74896</v>
      </c>
      <c r="L63" s="24">
        <f>Vlookup(D63,Customer_Tab!$A$2:$C$10,3,FALSE)</f>
        <v>0.18</v>
      </c>
      <c r="M63" s="23">
        <f t="shared" si="3"/>
        <v>13481.28</v>
      </c>
      <c r="N63" s="25">
        <f t="shared" si="4"/>
        <v>61414.72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  <c r="E64" s="23">
        <f>IFERROR(__xludf.DUMMYFUNCTION("SPLIT(C64,""_"")"),235.0)</f>
        <v>235</v>
      </c>
      <c r="F64" s="23" t="str">
        <f>IFERROR(__xludf.DUMMYFUNCTION("""COMPUTED_VALUE"""),"January")</f>
        <v>January</v>
      </c>
      <c r="G64" s="23">
        <f>IFERROR(__xludf.DUMMYFUNCTION("""COMPUTED_VALUE"""),17.0)</f>
        <v>17</v>
      </c>
      <c r="H64" s="23" t="str">
        <f>IFERROR(__xludf.DUMMYFUNCTION("""COMPUTED_VALUE"""),"ABC0023")</f>
        <v>ABC0023</v>
      </c>
      <c r="I64" s="23">
        <f t="shared" si="1"/>
        <v>235</v>
      </c>
      <c r="J64" s="23">
        <f>Vlookup(B64,Product_Tab!$A$2:$C$16,3,FALSE)</f>
        <v>421</v>
      </c>
      <c r="K64" s="23">
        <f t="shared" si="2"/>
        <v>98935</v>
      </c>
      <c r="L64" s="24">
        <f>Vlookup(D64,Customer_Tab!$A$2:$C$10,3,FALSE)</f>
        <v>0.1</v>
      </c>
      <c r="M64" s="23">
        <f t="shared" si="3"/>
        <v>9893.5</v>
      </c>
      <c r="N64" s="25">
        <f t="shared" si="4"/>
        <v>89041.5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  <c r="E65" s="23">
        <f>IFERROR(__xludf.DUMMYFUNCTION("SPLIT(C65,""_"")"),331.0)</f>
        <v>331</v>
      </c>
      <c r="F65" s="23" t="str">
        <f>IFERROR(__xludf.DUMMYFUNCTION("""COMPUTED_VALUE"""),"January")</f>
        <v>January</v>
      </c>
      <c r="G65" s="23">
        <f>IFERROR(__xludf.DUMMYFUNCTION("""COMPUTED_VALUE"""),1.0)</f>
        <v>1</v>
      </c>
      <c r="H65" s="23" t="str">
        <f>IFERROR(__xludf.DUMMYFUNCTION("""COMPUTED_VALUE"""),"ABC0023")</f>
        <v>ABC0023</v>
      </c>
      <c r="I65" s="23">
        <f t="shared" si="1"/>
        <v>331</v>
      </c>
      <c r="J65" s="23">
        <f>Vlookup(B65,Product_Tab!$A$2:$C$16,3,FALSE)</f>
        <v>795</v>
      </c>
      <c r="K65" s="23">
        <f t="shared" si="2"/>
        <v>263145</v>
      </c>
      <c r="L65" s="24">
        <f>Vlookup(D65,Customer_Tab!$A$2:$C$10,3,FALSE)</f>
        <v>0.15</v>
      </c>
      <c r="M65" s="23">
        <f t="shared" si="3"/>
        <v>39471.75</v>
      </c>
      <c r="N65" s="25">
        <f t="shared" si="4"/>
        <v>223673.25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  <c r="E66" s="23">
        <f>IFERROR(__xludf.DUMMYFUNCTION("SPLIT(C66,""_"")"),219.0)</f>
        <v>219</v>
      </c>
      <c r="F66" s="23" t="str">
        <f>IFERROR(__xludf.DUMMYFUNCTION("""COMPUTED_VALUE"""),"January")</f>
        <v>January</v>
      </c>
      <c r="G66" s="23">
        <f>IFERROR(__xludf.DUMMYFUNCTION("""COMPUTED_VALUE"""),15.0)</f>
        <v>15</v>
      </c>
      <c r="H66" s="23" t="str">
        <f>IFERROR(__xludf.DUMMYFUNCTION("""COMPUTED_VALUE"""),"ABC0023")</f>
        <v>ABC0023</v>
      </c>
      <c r="I66" s="23">
        <f t="shared" si="1"/>
        <v>219</v>
      </c>
      <c r="J66" s="23">
        <f>Vlookup(B66,Product_Tab!$A$2:$C$16,3,FALSE)</f>
        <v>652</v>
      </c>
      <c r="K66" s="23">
        <f t="shared" si="2"/>
        <v>142788</v>
      </c>
      <c r="L66" s="24">
        <f>Vlookup(D66,Customer_Tab!$A$2:$C$10,3,FALSE)</f>
        <v>0.15</v>
      </c>
      <c r="M66" s="23">
        <f t="shared" si="3"/>
        <v>21418.2</v>
      </c>
      <c r="N66" s="25">
        <f t="shared" si="4"/>
        <v>121369.8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  <c r="E67" s="23">
        <f>IFERROR(__xludf.DUMMYFUNCTION("SPLIT(C67,""_"")"),366.0)</f>
        <v>366</v>
      </c>
      <c r="F67" s="23" t="str">
        <f>IFERROR(__xludf.DUMMYFUNCTION("""COMPUTED_VALUE"""),"January")</f>
        <v>January</v>
      </c>
      <c r="G67" s="23">
        <f>IFERROR(__xludf.DUMMYFUNCTION("""COMPUTED_VALUE"""),2.0)</f>
        <v>2</v>
      </c>
      <c r="H67" s="23" t="str">
        <f>IFERROR(__xludf.DUMMYFUNCTION("""COMPUTED_VALUE"""),"ABC0023")</f>
        <v>ABC0023</v>
      </c>
      <c r="I67" s="23">
        <f t="shared" si="1"/>
        <v>366</v>
      </c>
      <c r="J67" s="23">
        <f>Vlookup(B67,Product_Tab!$A$2:$C$16,3,FALSE)</f>
        <v>378</v>
      </c>
      <c r="K67" s="23">
        <f t="shared" si="2"/>
        <v>138348</v>
      </c>
      <c r="L67" s="24">
        <f>Vlookup(D67,Customer_Tab!$A$2:$C$10,3,FALSE)</f>
        <v>0.18</v>
      </c>
      <c r="M67" s="23">
        <f t="shared" si="3"/>
        <v>24902.64</v>
      </c>
      <c r="N67" s="25">
        <f t="shared" si="4"/>
        <v>113445.36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  <c r="E68" s="23">
        <f>IFERROR(__xludf.DUMMYFUNCTION("SPLIT(C68,""_"")"),276.0)</f>
        <v>276</v>
      </c>
      <c r="F68" s="23" t="str">
        <f>IFERROR(__xludf.DUMMYFUNCTION("""COMPUTED_VALUE"""),"January")</f>
        <v>January</v>
      </c>
      <c r="G68" s="23">
        <f>IFERROR(__xludf.DUMMYFUNCTION("""COMPUTED_VALUE"""),17.0)</f>
        <v>17</v>
      </c>
      <c r="H68" s="23" t="str">
        <f>IFERROR(__xludf.DUMMYFUNCTION("""COMPUTED_VALUE"""),"ABC0023")</f>
        <v>ABC0023</v>
      </c>
      <c r="I68" s="23">
        <f t="shared" si="1"/>
        <v>276</v>
      </c>
      <c r="J68" s="23">
        <f>Vlookup(B68,Product_Tab!$A$2:$C$16,3,FALSE)</f>
        <v>545</v>
      </c>
      <c r="K68" s="23">
        <f t="shared" si="2"/>
        <v>150420</v>
      </c>
      <c r="L68" s="24">
        <f>Vlookup(D68,Customer_Tab!$A$2:$C$10,3,FALSE)</f>
        <v>0.18</v>
      </c>
      <c r="M68" s="23">
        <f t="shared" si="3"/>
        <v>27075.6</v>
      </c>
      <c r="N68" s="25">
        <f t="shared" si="4"/>
        <v>123344.4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  <c r="E69" s="23">
        <f>IFERROR(__xludf.DUMMYFUNCTION("SPLIT(C69,""_"")"),349.0)</f>
        <v>349</v>
      </c>
      <c r="F69" s="23" t="str">
        <f>IFERROR(__xludf.DUMMYFUNCTION("""COMPUTED_VALUE"""),"January")</f>
        <v>January</v>
      </c>
      <c r="G69" s="23">
        <f>IFERROR(__xludf.DUMMYFUNCTION("""COMPUTED_VALUE"""),8.0)</f>
        <v>8</v>
      </c>
      <c r="H69" s="23" t="str">
        <f>IFERROR(__xludf.DUMMYFUNCTION("""COMPUTED_VALUE"""),"ABC0023")</f>
        <v>ABC0023</v>
      </c>
      <c r="I69" s="23">
        <f t="shared" si="1"/>
        <v>349</v>
      </c>
      <c r="J69" s="23">
        <f>Vlookup(B69,Product_Tab!$A$2:$C$16,3,FALSE)</f>
        <v>203</v>
      </c>
      <c r="K69" s="23">
        <f t="shared" si="2"/>
        <v>70847</v>
      </c>
      <c r="L69" s="24">
        <f>Vlookup(D69,Customer_Tab!$A$2:$C$10,3,FALSE)</f>
        <v>0.1</v>
      </c>
      <c r="M69" s="23">
        <f t="shared" si="3"/>
        <v>7084.7</v>
      </c>
      <c r="N69" s="25">
        <f t="shared" si="4"/>
        <v>63762.3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  <c r="E70" s="23">
        <f>IFERROR(__xludf.DUMMYFUNCTION("SPLIT(C70,""_"")"),250.0)</f>
        <v>250</v>
      </c>
      <c r="F70" s="23" t="str">
        <f>IFERROR(__xludf.DUMMYFUNCTION("""COMPUTED_VALUE"""),"January")</f>
        <v>January</v>
      </c>
      <c r="G70" s="23">
        <f>IFERROR(__xludf.DUMMYFUNCTION("""COMPUTED_VALUE"""),25.0)</f>
        <v>25</v>
      </c>
      <c r="H70" s="23" t="str">
        <f>IFERROR(__xludf.DUMMYFUNCTION("""COMPUTED_VALUE"""),"ABC0023")</f>
        <v>ABC0023</v>
      </c>
      <c r="I70" s="23">
        <f t="shared" si="1"/>
        <v>250</v>
      </c>
      <c r="J70" s="23">
        <f>Vlookup(B70,Product_Tab!$A$2:$C$16,3,FALSE)</f>
        <v>131</v>
      </c>
      <c r="K70" s="23">
        <f t="shared" si="2"/>
        <v>32750</v>
      </c>
      <c r="L70" s="24">
        <f>Vlookup(D70,Customer_Tab!$A$2:$C$10,3,FALSE)</f>
        <v>0.1</v>
      </c>
      <c r="M70" s="23">
        <f t="shared" si="3"/>
        <v>3275</v>
      </c>
      <c r="N70" s="25">
        <f t="shared" si="4"/>
        <v>29475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  <c r="E71" s="23">
        <f>IFERROR(__xludf.DUMMYFUNCTION("SPLIT(C71,""_"")"),264.0)</f>
        <v>264</v>
      </c>
      <c r="F71" s="23" t="str">
        <f>IFERROR(__xludf.DUMMYFUNCTION("""COMPUTED_VALUE"""),"January")</f>
        <v>January</v>
      </c>
      <c r="G71" s="23">
        <f>IFERROR(__xludf.DUMMYFUNCTION("""COMPUTED_VALUE"""),10.0)</f>
        <v>10</v>
      </c>
      <c r="H71" s="23" t="str">
        <f>IFERROR(__xludf.DUMMYFUNCTION("""COMPUTED_VALUE"""),"ABC0023")</f>
        <v>ABC0023</v>
      </c>
      <c r="I71" s="23">
        <f t="shared" si="1"/>
        <v>264</v>
      </c>
      <c r="J71" s="23">
        <f>Vlookup(B71,Product_Tab!$A$2:$C$16,3,FALSE)</f>
        <v>50</v>
      </c>
      <c r="K71" s="23">
        <f t="shared" si="2"/>
        <v>13200</v>
      </c>
      <c r="L71" s="24">
        <f>Vlookup(D71,Customer_Tab!$A$2:$C$10,3,FALSE)</f>
        <v>0.15</v>
      </c>
      <c r="M71" s="23">
        <f t="shared" si="3"/>
        <v>1980</v>
      </c>
      <c r="N71" s="25">
        <f t="shared" si="4"/>
        <v>11220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  <c r="E72" s="23">
        <f>IFERROR(__xludf.DUMMYFUNCTION("SPLIT(C72,""_"")"),479.0)</f>
        <v>479</v>
      </c>
      <c r="F72" s="23" t="str">
        <f>IFERROR(__xludf.DUMMYFUNCTION("""COMPUTED_VALUE"""),"January")</f>
        <v>January</v>
      </c>
      <c r="G72" s="23">
        <f>IFERROR(__xludf.DUMMYFUNCTION("""COMPUTED_VALUE"""),19.0)</f>
        <v>19</v>
      </c>
      <c r="H72" s="23" t="str">
        <f>IFERROR(__xludf.DUMMYFUNCTION("""COMPUTED_VALUE"""),"ABC0023")</f>
        <v>ABC0023</v>
      </c>
      <c r="I72" s="23">
        <f t="shared" si="1"/>
        <v>479</v>
      </c>
      <c r="J72" s="23">
        <f>Vlookup(B72,Product_Tab!$A$2:$C$16,3,FALSE)</f>
        <v>76</v>
      </c>
      <c r="K72" s="23">
        <f t="shared" si="2"/>
        <v>36404</v>
      </c>
      <c r="L72" s="24">
        <f>Vlookup(D72,Customer_Tab!$A$2:$C$10,3,FALSE)</f>
        <v>0.18</v>
      </c>
      <c r="M72" s="23">
        <f t="shared" si="3"/>
        <v>6552.72</v>
      </c>
      <c r="N72" s="25">
        <f t="shared" si="4"/>
        <v>29851.28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  <c r="E73" s="23">
        <f>IFERROR(__xludf.DUMMYFUNCTION("SPLIT(C73,""_"")"),362.0)</f>
        <v>362</v>
      </c>
      <c r="F73" s="23" t="str">
        <f>IFERROR(__xludf.DUMMYFUNCTION("""COMPUTED_VALUE"""),"January")</f>
        <v>January</v>
      </c>
      <c r="G73" s="23">
        <f>IFERROR(__xludf.DUMMYFUNCTION("""COMPUTED_VALUE"""),14.0)</f>
        <v>14</v>
      </c>
      <c r="H73" s="23" t="str">
        <f>IFERROR(__xludf.DUMMYFUNCTION("""COMPUTED_VALUE"""),"ABC0023")</f>
        <v>ABC0023</v>
      </c>
      <c r="I73" s="23">
        <f t="shared" si="1"/>
        <v>362</v>
      </c>
      <c r="J73" s="23">
        <f>Vlookup(B73,Product_Tab!$A$2:$C$16,3,FALSE)</f>
        <v>659</v>
      </c>
      <c r="K73" s="23">
        <f t="shared" si="2"/>
        <v>238558</v>
      </c>
      <c r="L73" s="24">
        <f>Vlookup(D73,Customer_Tab!$A$2:$C$10,3,FALSE)</f>
        <v>0.1</v>
      </c>
      <c r="M73" s="23">
        <f t="shared" si="3"/>
        <v>23855.8</v>
      </c>
      <c r="N73" s="25">
        <f t="shared" si="4"/>
        <v>214702.2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  <c r="E74" s="23">
        <f>IFERROR(__xludf.DUMMYFUNCTION("SPLIT(C74,""_"")"),208.0)</f>
        <v>208</v>
      </c>
      <c r="F74" s="23" t="str">
        <f>IFERROR(__xludf.DUMMYFUNCTION("""COMPUTED_VALUE"""),"January")</f>
        <v>January</v>
      </c>
      <c r="G74" s="23">
        <f>IFERROR(__xludf.DUMMYFUNCTION("""COMPUTED_VALUE"""),26.0)</f>
        <v>26</v>
      </c>
      <c r="H74" s="23" t="str">
        <f>IFERROR(__xludf.DUMMYFUNCTION("""COMPUTED_VALUE"""),"ABC0023")</f>
        <v>ABC0023</v>
      </c>
      <c r="I74" s="23">
        <f t="shared" si="1"/>
        <v>208</v>
      </c>
      <c r="J74" s="23">
        <f>Vlookup(B74,Product_Tab!$A$2:$C$16,3,FALSE)</f>
        <v>286</v>
      </c>
      <c r="K74" s="23">
        <f t="shared" si="2"/>
        <v>59488</v>
      </c>
      <c r="L74" s="24">
        <f>Vlookup(D74,Customer_Tab!$A$2:$C$10,3,FALSE)</f>
        <v>0.15</v>
      </c>
      <c r="M74" s="23">
        <f t="shared" si="3"/>
        <v>8923.2</v>
      </c>
      <c r="N74" s="25">
        <f t="shared" si="4"/>
        <v>50564.8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  <c r="E75" s="23">
        <f>IFERROR(__xludf.DUMMYFUNCTION("SPLIT(C75,""_"")"),251.0)</f>
        <v>251</v>
      </c>
      <c r="F75" s="23" t="str">
        <f>IFERROR(__xludf.DUMMYFUNCTION("""COMPUTED_VALUE"""),"January")</f>
        <v>January</v>
      </c>
      <c r="G75" s="23">
        <f>IFERROR(__xludf.DUMMYFUNCTION("""COMPUTED_VALUE"""),22.0)</f>
        <v>22</v>
      </c>
      <c r="H75" s="23" t="str">
        <f>IFERROR(__xludf.DUMMYFUNCTION("""COMPUTED_VALUE"""),"ABC0023")</f>
        <v>ABC0023</v>
      </c>
      <c r="I75" s="23">
        <f t="shared" si="1"/>
        <v>251</v>
      </c>
      <c r="J75" s="23">
        <f>Vlookup(B75,Product_Tab!$A$2:$C$16,3,FALSE)</f>
        <v>223</v>
      </c>
      <c r="K75" s="23">
        <f t="shared" si="2"/>
        <v>55973</v>
      </c>
      <c r="L75" s="24">
        <f>Vlookup(D75,Customer_Tab!$A$2:$C$10,3,FALSE)</f>
        <v>0.15</v>
      </c>
      <c r="M75" s="23">
        <f t="shared" si="3"/>
        <v>8395.95</v>
      </c>
      <c r="N75" s="25">
        <f t="shared" si="4"/>
        <v>47577.05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  <c r="E76" s="23">
        <f>IFERROR(__xludf.DUMMYFUNCTION("SPLIT(C76,""_"")"),275.0)</f>
        <v>275</v>
      </c>
      <c r="F76" s="23" t="str">
        <f>IFERROR(__xludf.DUMMYFUNCTION("""COMPUTED_VALUE"""),"January")</f>
        <v>January</v>
      </c>
      <c r="G76" s="23">
        <f>IFERROR(__xludf.DUMMYFUNCTION("""COMPUTED_VALUE"""),3.0)</f>
        <v>3</v>
      </c>
      <c r="H76" s="23" t="str">
        <f>IFERROR(__xludf.DUMMYFUNCTION("""COMPUTED_VALUE"""),"ABC0023")</f>
        <v>ABC0023</v>
      </c>
      <c r="I76" s="23">
        <f t="shared" si="1"/>
        <v>275</v>
      </c>
      <c r="J76" s="23">
        <f>Vlookup(B76,Product_Tab!$A$2:$C$16,3,FALSE)</f>
        <v>721</v>
      </c>
      <c r="K76" s="23">
        <f t="shared" si="2"/>
        <v>198275</v>
      </c>
      <c r="L76" s="24">
        <f>Vlookup(D76,Customer_Tab!$A$2:$C$10,3,FALSE)</f>
        <v>0.18</v>
      </c>
      <c r="M76" s="23">
        <f t="shared" si="3"/>
        <v>35689.5</v>
      </c>
      <c r="N76" s="25">
        <f t="shared" si="4"/>
        <v>162585.5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  <c r="E77" s="23">
        <f>IFERROR(__xludf.DUMMYFUNCTION("SPLIT(C77,""_"")"),365.0)</f>
        <v>365</v>
      </c>
      <c r="F77" s="23" t="str">
        <f>IFERROR(__xludf.DUMMYFUNCTION("""COMPUTED_VALUE"""),"January")</f>
        <v>January</v>
      </c>
      <c r="G77" s="23">
        <f>IFERROR(__xludf.DUMMYFUNCTION("""COMPUTED_VALUE"""),23.0)</f>
        <v>23</v>
      </c>
      <c r="H77" s="23" t="str">
        <f>IFERROR(__xludf.DUMMYFUNCTION("""COMPUTED_VALUE"""),"ABC0023")</f>
        <v>ABC0023</v>
      </c>
      <c r="I77" s="23">
        <f t="shared" si="1"/>
        <v>365</v>
      </c>
      <c r="J77" s="23">
        <f>Vlookup(B77,Product_Tab!$A$2:$C$16,3,FALSE)</f>
        <v>273</v>
      </c>
      <c r="K77" s="23">
        <f t="shared" si="2"/>
        <v>99645</v>
      </c>
      <c r="L77" s="24">
        <f>Vlookup(D77,Customer_Tab!$A$2:$C$10,3,FALSE)</f>
        <v>0.18</v>
      </c>
      <c r="M77" s="23">
        <f t="shared" si="3"/>
        <v>17936.1</v>
      </c>
      <c r="N77" s="25">
        <f t="shared" si="4"/>
        <v>81708.9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  <c r="E78" s="23">
        <f>IFERROR(__xludf.DUMMYFUNCTION("SPLIT(C78,""_"")"),416.0)</f>
        <v>416</v>
      </c>
      <c r="F78" s="23" t="str">
        <f>IFERROR(__xludf.DUMMYFUNCTION("""COMPUTED_VALUE"""),"January")</f>
        <v>January</v>
      </c>
      <c r="G78" s="23">
        <f>IFERROR(__xludf.DUMMYFUNCTION("""COMPUTED_VALUE"""),5.0)</f>
        <v>5</v>
      </c>
      <c r="H78" s="23" t="str">
        <f>IFERROR(__xludf.DUMMYFUNCTION("""COMPUTED_VALUE"""),"ABC0023")</f>
        <v>ABC0023</v>
      </c>
      <c r="I78" s="23">
        <f t="shared" si="1"/>
        <v>416</v>
      </c>
      <c r="J78" s="23">
        <f>Vlookup(B78,Product_Tab!$A$2:$C$16,3,FALSE)</f>
        <v>151</v>
      </c>
      <c r="K78" s="23">
        <f t="shared" si="2"/>
        <v>62816</v>
      </c>
      <c r="L78" s="24">
        <f>Vlookup(D78,Customer_Tab!$A$2:$C$10,3,FALSE)</f>
        <v>0.1</v>
      </c>
      <c r="M78" s="23">
        <f t="shared" si="3"/>
        <v>6281.6</v>
      </c>
      <c r="N78" s="25">
        <f t="shared" si="4"/>
        <v>56534.4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  <c r="E79" s="23">
        <f>IFERROR(__xludf.DUMMYFUNCTION("SPLIT(C79,""_"")"),294.0)</f>
        <v>294</v>
      </c>
      <c r="F79" s="23" t="str">
        <f>IFERROR(__xludf.DUMMYFUNCTION("""COMPUTED_VALUE"""),"January")</f>
        <v>January</v>
      </c>
      <c r="G79" s="23">
        <f>IFERROR(__xludf.DUMMYFUNCTION("""COMPUTED_VALUE"""),14.0)</f>
        <v>14</v>
      </c>
      <c r="H79" s="23" t="str">
        <f>IFERROR(__xludf.DUMMYFUNCTION("""COMPUTED_VALUE"""),"ABC0023")</f>
        <v>ABC0023</v>
      </c>
      <c r="I79" s="23">
        <f t="shared" si="1"/>
        <v>294</v>
      </c>
      <c r="J79" s="23">
        <f>Vlookup(B79,Product_Tab!$A$2:$C$16,3,FALSE)</f>
        <v>421</v>
      </c>
      <c r="K79" s="23">
        <f t="shared" si="2"/>
        <v>123774</v>
      </c>
      <c r="L79" s="24">
        <f>Vlookup(D79,Customer_Tab!$A$2:$C$10,3,FALSE)</f>
        <v>0.1</v>
      </c>
      <c r="M79" s="23">
        <f t="shared" si="3"/>
        <v>12377.4</v>
      </c>
      <c r="N79" s="25">
        <f t="shared" si="4"/>
        <v>111396.6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  <c r="E80" s="23">
        <f>IFERROR(__xludf.DUMMYFUNCTION("SPLIT(C80,""_"")"),210.0)</f>
        <v>210</v>
      </c>
      <c r="F80" s="23" t="str">
        <f>IFERROR(__xludf.DUMMYFUNCTION("""COMPUTED_VALUE"""),"January")</f>
        <v>January</v>
      </c>
      <c r="G80" s="23">
        <f>IFERROR(__xludf.DUMMYFUNCTION("""COMPUTED_VALUE"""),1.0)</f>
        <v>1</v>
      </c>
      <c r="H80" s="23" t="str">
        <f>IFERROR(__xludf.DUMMYFUNCTION("""COMPUTED_VALUE"""),"ABC0023")</f>
        <v>ABC0023</v>
      </c>
      <c r="I80" s="23">
        <f t="shared" si="1"/>
        <v>210</v>
      </c>
      <c r="J80" s="23">
        <f>Vlookup(B80,Product_Tab!$A$2:$C$16,3,FALSE)</f>
        <v>795</v>
      </c>
      <c r="K80" s="23">
        <f t="shared" si="2"/>
        <v>166950</v>
      </c>
      <c r="L80" s="24">
        <f>Vlookup(D80,Customer_Tab!$A$2:$C$10,3,FALSE)</f>
        <v>0.15</v>
      </c>
      <c r="M80" s="23">
        <f t="shared" si="3"/>
        <v>25042.5</v>
      </c>
      <c r="N80" s="25">
        <f t="shared" si="4"/>
        <v>141907.5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  <c r="E81" s="23">
        <f>IFERROR(__xludf.DUMMYFUNCTION("SPLIT(C81,""_"")"),317.0)</f>
        <v>317</v>
      </c>
      <c r="F81" s="23" t="str">
        <f>IFERROR(__xludf.DUMMYFUNCTION("""COMPUTED_VALUE"""),"February")</f>
        <v>February</v>
      </c>
      <c r="G81" s="23">
        <f>IFERROR(__xludf.DUMMYFUNCTION("""COMPUTED_VALUE"""),28.0)</f>
        <v>28</v>
      </c>
      <c r="H81" s="23" t="str">
        <f>IFERROR(__xludf.DUMMYFUNCTION("""COMPUTED_VALUE"""),"ABC0023")</f>
        <v>ABC0023</v>
      </c>
      <c r="I81" s="23">
        <f t="shared" si="1"/>
        <v>317</v>
      </c>
      <c r="J81" s="23">
        <f>Vlookup(B81,Product_Tab!$A$2:$C$16,3,FALSE)</f>
        <v>652</v>
      </c>
      <c r="K81" s="23">
        <f t="shared" si="2"/>
        <v>206684</v>
      </c>
      <c r="L81" s="24">
        <f>Vlookup(D81,Customer_Tab!$A$2:$C$10,3,FALSE)</f>
        <v>0.15</v>
      </c>
      <c r="M81" s="23">
        <f t="shared" si="3"/>
        <v>31002.6</v>
      </c>
      <c r="N81" s="25">
        <f t="shared" si="4"/>
        <v>175681.4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  <c r="E82" s="23">
        <f>IFERROR(__xludf.DUMMYFUNCTION("SPLIT(C82,""_"")"),392.0)</f>
        <v>392</v>
      </c>
      <c r="F82" s="23" t="str">
        <f>IFERROR(__xludf.DUMMYFUNCTION("""COMPUTED_VALUE"""),"February")</f>
        <v>February</v>
      </c>
      <c r="G82" s="23">
        <f>IFERROR(__xludf.DUMMYFUNCTION("""COMPUTED_VALUE"""),4.0)</f>
        <v>4</v>
      </c>
      <c r="H82" s="23" t="str">
        <f>IFERROR(__xludf.DUMMYFUNCTION("""COMPUTED_VALUE"""),"ABC0024")</f>
        <v>ABC0024</v>
      </c>
      <c r="I82" s="23">
        <f t="shared" si="1"/>
        <v>392</v>
      </c>
      <c r="J82" s="23">
        <f>Vlookup(B82,Product_Tab!$A$2:$C$16,3,FALSE)</f>
        <v>652</v>
      </c>
      <c r="K82" s="23">
        <f t="shared" si="2"/>
        <v>255584</v>
      </c>
      <c r="L82" s="24">
        <f>Vlookup(D82,Customer_Tab!$A$2:$C$10,3,FALSE)</f>
        <v>0.15</v>
      </c>
      <c r="M82" s="23">
        <f t="shared" si="3"/>
        <v>38337.6</v>
      </c>
      <c r="N82" s="25">
        <f t="shared" si="4"/>
        <v>217246.4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  <c r="E83" s="23">
        <f>IFERROR(__xludf.DUMMYFUNCTION("SPLIT(C83,""_"")"),417.0)</f>
        <v>417</v>
      </c>
      <c r="F83" s="23" t="str">
        <f>IFERROR(__xludf.DUMMYFUNCTION("""COMPUTED_VALUE"""),"February")</f>
        <v>February</v>
      </c>
      <c r="G83" s="23">
        <f>IFERROR(__xludf.DUMMYFUNCTION("""COMPUTED_VALUE"""),6.0)</f>
        <v>6</v>
      </c>
      <c r="H83" s="23" t="str">
        <f>IFERROR(__xludf.DUMMYFUNCTION("""COMPUTED_VALUE"""),"ABC0025")</f>
        <v>ABC0025</v>
      </c>
      <c r="I83" s="23">
        <f t="shared" si="1"/>
        <v>417</v>
      </c>
      <c r="J83" s="23">
        <f>Vlookup(B83,Product_Tab!$A$2:$C$16,3,FALSE)</f>
        <v>652</v>
      </c>
      <c r="K83" s="23">
        <f t="shared" si="2"/>
        <v>271884</v>
      </c>
      <c r="L83" s="24">
        <f>Vlookup(D83,Customer_Tab!$A$2:$C$10,3,FALSE)</f>
        <v>0.18</v>
      </c>
      <c r="M83" s="23">
        <f t="shared" si="3"/>
        <v>48939.12</v>
      </c>
      <c r="N83" s="25">
        <f t="shared" si="4"/>
        <v>222944.88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  <c r="E84" s="23">
        <f>IFERROR(__xludf.DUMMYFUNCTION("SPLIT(C84,""_"")"),221.0)</f>
        <v>221</v>
      </c>
      <c r="F84" s="23" t="str">
        <f>IFERROR(__xludf.DUMMYFUNCTION("""COMPUTED_VALUE"""),"February")</f>
        <v>February</v>
      </c>
      <c r="G84" s="23">
        <f>IFERROR(__xludf.DUMMYFUNCTION("""COMPUTED_VALUE"""),21.0)</f>
        <v>21</v>
      </c>
      <c r="H84" s="23" t="str">
        <f>IFERROR(__xludf.DUMMYFUNCTION("""COMPUTED_VALUE"""),"ABC0026")</f>
        <v>ABC0026</v>
      </c>
      <c r="I84" s="23">
        <f t="shared" si="1"/>
        <v>221</v>
      </c>
      <c r="J84" s="23">
        <f>Vlookup(B84,Product_Tab!$A$2:$C$16,3,FALSE)</f>
        <v>652</v>
      </c>
      <c r="K84" s="23">
        <f t="shared" si="2"/>
        <v>144092</v>
      </c>
      <c r="L84" s="24">
        <f>Vlookup(D84,Customer_Tab!$A$2:$C$10,3,FALSE)</f>
        <v>0.18</v>
      </c>
      <c r="M84" s="23">
        <f t="shared" si="3"/>
        <v>25936.56</v>
      </c>
      <c r="N84" s="25">
        <f t="shared" si="4"/>
        <v>118155.44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  <c r="E85" s="23">
        <f>IFERROR(__xludf.DUMMYFUNCTION("SPLIT(C85,""_"")"),478.0)</f>
        <v>478</v>
      </c>
      <c r="F85" s="23" t="str">
        <f>IFERROR(__xludf.DUMMYFUNCTION("""COMPUTED_VALUE"""),"February")</f>
        <v>February</v>
      </c>
      <c r="G85" s="23">
        <f>IFERROR(__xludf.DUMMYFUNCTION("""COMPUTED_VALUE"""),3.0)</f>
        <v>3</v>
      </c>
      <c r="H85" s="23" t="str">
        <f>IFERROR(__xludf.DUMMYFUNCTION("""COMPUTED_VALUE"""),"ABC0027")</f>
        <v>ABC0027</v>
      </c>
      <c r="I85" s="23">
        <f t="shared" si="1"/>
        <v>478</v>
      </c>
      <c r="J85" s="23">
        <f>Vlookup(B85,Product_Tab!$A$2:$C$16,3,FALSE)</f>
        <v>652</v>
      </c>
      <c r="K85" s="23">
        <f t="shared" si="2"/>
        <v>311656</v>
      </c>
      <c r="L85" s="24">
        <f>Vlookup(D85,Customer_Tab!$A$2:$C$10,3,FALSE)</f>
        <v>0.1</v>
      </c>
      <c r="M85" s="23">
        <f t="shared" si="3"/>
        <v>31165.6</v>
      </c>
      <c r="N85" s="25">
        <f t="shared" si="4"/>
        <v>280490.4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  <c r="E86" s="23">
        <f>IFERROR(__xludf.DUMMYFUNCTION("SPLIT(C86,""_"")"),369.0)</f>
        <v>369</v>
      </c>
      <c r="F86" s="23" t="str">
        <f>IFERROR(__xludf.DUMMYFUNCTION("""COMPUTED_VALUE"""),"February")</f>
        <v>February</v>
      </c>
      <c r="G86" s="23">
        <f>IFERROR(__xludf.DUMMYFUNCTION("""COMPUTED_VALUE"""),12.0)</f>
        <v>12</v>
      </c>
      <c r="H86" s="23" t="str">
        <f>IFERROR(__xludf.DUMMYFUNCTION("""COMPUTED_VALUE"""),"ABC0028")</f>
        <v>ABC0028</v>
      </c>
      <c r="I86" s="23">
        <f t="shared" si="1"/>
        <v>369</v>
      </c>
      <c r="J86" s="23">
        <f>Vlookup(B86,Product_Tab!$A$2:$C$16,3,FALSE)</f>
        <v>652</v>
      </c>
      <c r="K86" s="23">
        <f t="shared" si="2"/>
        <v>240588</v>
      </c>
      <c r="L86" s="24">
        <f>Vlookup(D86,Customer_Tab!$A$2:$C$10,3,FALSE)</f>
        <v>0.1</v>
      </c>
      <c r="M86" s="23">
        <f t="shared" si="3"/>
        <v>24058.8</v>
      </c>
      <c r="N86" s="25">
        <f t="shared" si="4"/>
        <v>216529.2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  <c r="E87" s="23">
        <f>IFERROR(__xludf.DUMMYFUNCTION("SPLIT(C87,""_"")"),439.0)</f>
        <v>439</v>
      </c>
      <c r="F87" s="23" t="str">
        <f>IFERROR(__xludf.DUMMYFUNCTION("""COMPUTED_VALUE"""),"February")</f>
        <v>February</v>
      </c>
      <c r="G87" s="23">
        <f>IFERROR(__xludf.DUMMYFUNCTION("""COMPUTED_VALUE"""),19.0)</f>
        <v>19</v>
      </c>
      <c r="H87" s="23" t="str">
        <f>IFERROR(__xludf.DUMMYFUNCTION("""COMPUTED_VALUE"""),"ABC0029")</f>
        <v>ABC0029</v>
      </c>
      <c r="I87" s="23">
        <f t="shared" si="1"/>
        <v>439</v>
      </c>
      <c r="J87" s="23">
        <f>Vlookup(B87,Product_Tab!$A$2:$C$16,3,FALSE)</f>
        <v>652</v>
      </c>
      <c r="K87" s="23">
        <f t="shared" si="2"/>
        <v>286228</v>
      </c>
      <c r="L87" s="24">
        <f>Vlookup(D87,Customer_Tab!$A$2:$C$10,3,FALSE)</f>
        <v>0.15</v>
      </c>
      <c r="M87" s="23">
        <f t="shared" si="3"/>
        <v>42934.2</v>
      </c>
      <c r="N87" s="25">
        <f t="shared" si="4"/>
        <v>243293.8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  <c r="E88" s="23">
        <f>IFERROR(__xludf.DUMMYFUNCTION("SPLIT(C88,""_"")"),293.0)</f>
        <v>293</v>
      </c>
      <c r="F88" s="23" t="str">
        <f>IFERROR(__xludf.DUMMYFUNCTION("""COMPUTED_VALUE"""),"February")</f>
        <v>February</v>
      </c>
      <c r="G88" s="23">
        <f>IFERROR(__xludf.DUMMYFUNCTION("""COMPUTED_VALUE"""),22.0)</f>
        <v>22</v>
      </c>
      <c r="H88" s="23" t="str">
        <f>IFERROR(__xludf.DUMMYFUNCTION("""COMPUTED_VALUE"""),"ABC0030")</f>
        <v>ABC0030</v>
      </c>
      <c r="I88" s="23">
        <f t="shared" si="1"/>
        <v>293</v>
      </c>
      <c r="J88" s="23">
        <f>Vlookup(B88,Product_Tab!$A$2:$C$16,3,FALSE)</f>
        <v>652</v>
      </c>
      <c r="K88" s="23">
        <f t="shared" si="2"/>
        <v>191036</v>
      </c>
      <c r="L88" s="24">
        <f>Vlookup(D88,Customer_Tab!$A$2:$C$10,3,FALSE)</f>
        <v>0.18</v>
      </c>
      <c r="M88" s="23">
        <f t="shared" si="3"/>
        <v>34386.48</v>
      </c>
      <c r="N88" s="25">
        <f t="shared" si="4"/>
        <v>156649.52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  <c r="E89" s="23">
        <f>IFERROR(__xludf.DUMMYFUNCTION("SPLIT(C89,""_"")"),290.0)</f>
        <v>290</v>
      </c>
      <c r="F89" s="23" t="str">
        <f>IFERROR(__xludf.DUMMYFUNCTION("""COMPUTED_VALUE"""),"February")</f>
        <v>February</v>
      </c>
      <c r="G89" s="23">
        <f>IFERROR(__xludf.DUMMYFUNCTION("""COMPUTED_VALUE"""),24.0)</f>
        <v>24</v>
      </c>
      <c r="H89" s="23" t="str">
        <f>IFERROR(__xludf.DUMMYFUNCTION("""COMPUTED_VALUE"""),"ABC0031")</f>
        <v>ABC0031</v>
      </c>
      <c r="I89" s="23">
        <f t="shared" si="1"/>
        <v>290</v>
      </c>
      <c r="J89" s="23">
        <f>Vlookup(B89,Product_Tab!$A$2:$C$16,3,FALSE)</f>
        <v>652</v>
      </c>
      <c r="K89" s="23">
        <f t="shared" si="2"/>
        <v>189080</v>
      </c>
      <c r="L89" s="24">
        <f>Vlookup(D89,Customer_Tab!$A$2:$C$10,3,FALSE)</f>
        <v>0.1</v>
      </c>
      <c r="M89" s="23">
        <f t="shared" si="3"/>
        <v>18908</v>
      </c>
      <c r="N89" s="25">
        <f t="shared" si="4"/>
        <v>170172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  <c r="E90" s="23">
        <f>IFERROR(__xludf.DUMMYFUNCTION("SPLIT(C90,""_"")"),471.0)</f>
        <v>471</v>
      </c>
      <c r="F90" s="23" t="str">
        <f>IFERROR(__xludf.DUMMYFUNCTION("""COMPUTED_VALUE"""),"February")</f>
        <v>February</v>
      </c>
      <c r="G90" s="23">
        <f>IFERROR(__xludf.DUMMYFUNCTION("""COMPUTED_VALUE"""),22.0)</f>
        <v>22</v>
      </c>
      <c r="H90" s="23" t="str">
        <f>IFERROR(__xludf.DUMMYFUNCTION("""COMPUTED_VALUE"""),"ABC0023")</f>
        <v>ABC0023</v>
      </c>
      <c r="I90" s="23">
        <f t="shared" si="1"/>
        <v>471</v>
      </c>
      <c r="J90" s="23">
        <f>Vlookup(B90,Product_Tab!$A$2:$C$16,3,FALSE)</f>
        <v>378</v>
      </c>
      <c r="K90" s="23">
        <f t="shared" si="2"/>
        <v>178038</v>
      </c>
      <c r="L90" s="24">
        <f>Vlookup(D90,Customer_Tab!$A$2:$C$10,3,FALSE)</f>
        <v>0.15</v>
      </c>
      <c r="M90" s="23">
        <f t="shared" si="3"/>
        <v>26705.7</v>
      </c>
      <c r="N90" s="25">
        <f t="shared" si="4"/>
        <v>151332.3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  <c r="E91" s="23">
        <f>IFERROR(__xludf.DUMMYFUNCTION("SPLIT(C91,""_"")"),387.0)</f>
        <v>387</v>
      </c>
      <c r="F91" s="23" t="str">
        <f>IFERROR(__xludf.DUMMYFUNCTION("""COMPUTED_VALUE"""),"February")</f>
        <v>February</v>
      </c>
      <c r="G91" s="23">
        <f>IFERROR(__xludf.DUMMYFUNCTION("""COMPUTED_VALUE"""),23.0)</f>
        <v>23</v>
      </c>
      <c r="H91" s="23" t="str">
        <f>IFERROR(__xludf.DUMMYFUNCTION("""COMPUTED_VALUE"""),"ABC0024")</f>
        <v>ABC0024</v>
      </c>
      <c r="I91" s="23">
        <f t="shared" si="1"/>
        <v>387</v>
      </c>
      <c r="J91" s="23">
        <f>Vlookup(B91,Product_Tab!$A$2:$C$16,3,FALSE)</f>
        <v>378</v>
      </c>
      <c r="K91" s="23">
        <f t="shared" si="2"/>
        <v>146286</v>
      </c>
      <c r="L91" s="24">
        <f>Vlookup(D91,Customer_Tab!$A$2:$C$10,3,FALSE)</f>
        <v>0.15</v>
      </c>
      <c r="M91" s="23">
        <f t="shared" si="3"/>
        <v>21942.9</v>
      </c>
      <c r="N91" s="25">
        <f t="shared" si="4"/>
        <v>124343.1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  <c r="E92" s="23">
        <f>IFERROR(__xludf.DUMMYFUNCTION("SPLIT(C92,""_"")"),328.0)</f>
        <v>328</v>
      </c>
      <c r="F92" s="23" t="str">
        <f>IFERROR(__xludf.DUMMYFUNCTION("""COMPUTED_VALUE"""),"February")</f>
        <v>February</v>
      </c>
      <c r="G92" s="23">
        <f>IFERROR(__xludf.DUMMYFUNCTION("""COMPUTED_VALUE"""),21.0)</f>
        <v>21</v>
      </c>
      <c r="H92" s="23" t="str">
        <f>IFERROR(__xludf.DUMMYFUNCTION("""COMPUTED_VALUE"""),"ABC0025")</f>
        <v>ABC0025</v>
      </c>
      <c r="I92" s="23">
        <f t="shared" si="1"/>
        <v>328</v>
      </c>
      <c r="J92" s="23">
        <f>Vlookup(B92,Product_Tab!$A$2:$C$16,3,FALSE)</f>
        <v>378</v>
      </c>
      <c r="K92" s="23">
        <f t="shared" si="2"/>
        <v>123984</v>
      </c>
      <c r="L92" s="24">
        <f>Vlookup(D92,Customer_Tab!$A$2:$C$10,3,FALSE)</f>
        <v>0.18</v>
      </c>
      <c r="M92" s="23">
        <f t="shared" si="3"/>
        <v>22317.12</v>
      </c>
      <c r="N92" s="25">
        <f t="shared" si="4"/>
        <v>101666.88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  <c r="E93" s="23">
        <f>IFERROR(__xludf.DUMMYFUNCTION("SPLIT(C93,""_"")"),355.0)</f>
        <v>355</v>
      </c>
      <c r="F93" s="23" t="str">
        <f>IFERROR(__xludf.DUMMYFUNCTION("""COMPUTED_VALUE"""),"February")</f>
        <v>February</v>
      </c>
      <c r="G93" s="23">
        <f>IFERROR(__xludf.DUMMYFUNCTION("""COMPUTED_VALUE"""),26.0)</f>
        <v>26</v>
      </c>
      <c r="H93" s="23" t="str">
        <f>IFERROR(__xludf.DUMMYFUNCTION("""COMPUTED_VALUE"""),"ABC0026")</f>
        <v>ABC0026</v>
      </c>
      <c r="I93" s="23">
        <f t="shared" si="1"/>
        <v>355</v>
      </c>
      <c r="J93" s="23">
        <f>Vlookup(B93,Product_Tab!$A$2:$C$16,3,FALSE)</f>
        <v>378</v>
      </c>
      <c r="K93" s="23">
        <f t="shared" si="2"/>
        <v>134190</v>
      </c>
      <c r="L93" s="24">
        <f>Vlookup(D93,Customer_Tab!$A$2:$C$10,3,FALSE)</f>
        <v>0.18</v>
      </c>
      <c r="M93" s="23">
        <f t="shared" si="3"/>
        <v>24154.2</v>
      </c>
      <c r="N93" s="25">
        <f t="shared" si="4"/>
        <v>110035.8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  <c r="E94" s="23">
        <f>IFERROR(__xludf.DUMMYFUNCTION("SPLIT(C94,""_"")"),411.0)</f>
        <v>411</v>
      </c>
      <c r="F94" s="23" t="str">
        <f>IFERROR(__xludf.DUMMYFUNCTION("""COMPUTED_VALUE"""),"February")</f>
        <v>February</v>
      </c>
      <c r="G94" s="23">
        <f>IFERROR(__xludf.DUMMYFUNCTION("""COMPUTED_VALUE"""),5.0)</f>
        <v>5</v>
      </c>
      <c r="H94" s="23" t="str">
        <f>IFERROR(__xludf.DUMMYFUNCTION("""COMPUTED_VALUE"""),"ABC0027")</f>
        <v>ABC0027</v>
      </c>
      <c r="I94" s="23">
        <f t="shared" si="1"/>
        <v>411</v>
      </c>
      <c r="J94" s="23">
        <f>Vlookup(B94,Product_Tab!$A$2:$C$16,3,FALSE)</f>
        <v>378</v>
      </c>
      <c r="K94" s="23">
        <f t="shared" si="2"/>
        <v>155358</v>
      </c>
      <c r="L94" s="24">
        <f>Vlookup(D94,Customer_Tab!$A$2:$C$10,3,FALSE)</f>
        <v>0.1</v>
      </c>
      <c r="M94" s="23">
        <f t="shared" si="3"/>
        <v>15535.8</v>
      </c>
      <c r="N94" s="25">
        <f t="shared" si="4"/>
        <v>139822.2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  <c r="E95" s="23">
        <f>IFERROR(__xludf.DUMMYFUNCTION("SPLIT(C95,""_"")"),292.0)</f>
        <v>292</v>
      </c>
      <c r="F95" s="23" t="str">
        <f>IFERROR(__xludf.DUMMYFUNCTION("""COMPUTED_VALUE"""),"February")</f>
        <v>February</v>
      </c>
      <c r="G95" s="23">
        <f>IFERROR(__xludf.DUMMYFUNCTION("""COMPUTED_VALUE"""),6.0)</f>
        <v>6</v>
      </c>
      <c r="H95" s="23" t="str">
        <f>IFERROR(__xludf.DUMMYFUNCTION("""COMPUTED_VALUE"""),"ABC0028")</f>
        <v>ABC0028</v>
      </c>
      <c r="I95" s="23">
        <f t="shared" si="1"/>
        <v>292</v>
      </c>
      <c r="J95" s="23">
        <f>Vlookup(B95,Product_Tab!$A$2:$C$16,3,FALSE)</f>
        <v>378</v>
      </c>
      <c r="K95" s="23">
        <f t="shared" si="2"/>
        <v>110376</v>
      </c>
      <c r="L95" s="24">
        <f>Vlookup(D95,Customer_Tab!$A$2:$C$10,3,FALSE)</f>
        <v>0.1</v>
      </c>
      <c r="M95" s="23">
        <f t="shared" si="3"/>
        <v>11037.6</v>
      </c>
      <c r="N95" s="25">
        <f t="shared" si="4"/>
        <v>99338.4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  <c r="E96" s="23">
        <f>IFERROR(__xludf.DUMMYFUNCTION("SPLIT(C96,""_"")"),447.0)</f>
        <v>447</v>
      </c>
      <c r="F96" s="23" t="str">
        <f>IFERROR(__xludf.DUMMYFUNCTION("""COMPUTED_VALUE"""),"February")</f>
        <v>February</v>
      </c>
      <c r="G96" s="23">
        <f>IFERROR(__xludf.DUMMYFUNCTION("""COMPUTED_VALUE"""),14.0)</f>
        <v>14</v>
      </c>
      <c r="H96" s="23" t="str">
        <f>IFERROR(__xludf.DUMMYFUNCTION("""COMPUTED_VALUE"""),"ABC0029")</f>
        <v>ABC0029</v>
      </c>
      <c r="I96" s="23">
        <f t="shared" si="1"/>
        <v>447</v>
      </c>
      <c r="J96" s="23">
        <f>Vlookup(B96,Product_Tab!$A$2:$C$16,3,FALSE)</f>
        <v>378</v>
      </c>
      <c r="K96" s="23">
        <f t="shared" si="2"/>
        <v>168966</v>
      </c>
      <c r="L96" s="24">
        <f>Vlookup(D96,Customer_Tab!$A$2:$C$10,3,FALSE)</f>
        <v>0.15</v>
      </c>
      <c r="M96" s="23">
        <f t="shared" si="3"/>
        <v>25344.9</v>
      </c>
      <c r="N96" s="25">
        <f t="shared" si="4"/>
        <v>143621.1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  <c r="E97" s="23">
        <f>IFERROR(__xludf.DUMMYFUNCTION("SPLIT(C97,""_"")"),220.0)</f>
        <v>220</v>
      </c>
      <c r="F97" s="23" t="str">
        <f>IFERROR(__xludf.DUMMYFUNCTION("""COMPUTED_VALUE"""),"February")</f>
        <v>February</v>
      </c>
      <c r="G97" s="23">
        <f>IFERROR(__xludf.DUMMYFUNCTION("""COMPUTED_VALUE"""),27.0)</f>
        <v>27</v>
      </c>
      <c r="H97" s="23" t="str">
        <f>IFERROR(__xludf.DUMMYFUNCTION("""COMPUTED_VALUE"""),"ABC0030")</f>
        <v>ABC0030</v>
      </c>
      <c r="I97" s="23">
        <f t="shared" si="1"/>
        <v>220</v>
      </c>
      <c r="J97" s="23">
        <f>Vlookup(B97,Product_Tab!$A$2:$C$16,3,FALSE)</f>
        <v>378</v>
      </c>
      <c r="K97" s="23">
        <f t="shared" si="2"/>
        <v>83160</v>
      </c>
      <c r="L97" s="24">
        <f>Vlookup(D97,Customer_Tab!$A$2:$C$10,3,FALSE)</f>
        <v>0.18</v>
      </c>
      <c r="M97" s="23">
        <f t="shared" si="3"/>
        <v>14968.8</v>
      </c>
      <c r="N97" s="25">
        <f t="shared" si="4"/>
        <v>68191.2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  <c r="E98" s="23">
        <f>IFERROR(__xludf.DUMMYFUNCTION("SPLIT(C98,""_"")"),309.0)</f>
        <v>309</v>
      </c>
      <c r="F98" s="23" t="str">
        <f>IFERROR(__xludf.DUMMYFUNCTION("""COMPUTED_VALUE"""),"February")</f>
        <v>February</v>
      </c>
      <c r="G98" s="23">
        <f>IFERROR(__xludf.DUMMYFUNCTION("""COMPUTED_VALUE"""),12.0)</f>
        <v>12</v>
      </c>
      <c r="H98" s="23" t="str">
        <f>IFERROR(__xludf.DUMMYFUNCTION("""COMPUTED_VALUE"""),"ABC0031")</f>
        <v>ABC0031</v>
      </c>
      <c r="I98" s="23">
        <f t="shared" si="1"/>
        <v>309</v>
      </c>
      <c r="J98" s="23">
        <f>Vlookup(B98,Product_Tab!$A$2:$C$16,3,FALSE)</f>
        <v>378</v>
      </c>
      <c r="K98" s="23">
        <f t="shared" si="2"/>
        <v>116802</v>
      </c>
      <c r="L98" s="24">
        <f>Vlookup(D98,Customer_Tab!$A$2:$C$10,3,FALSE)</f>
        <v>0.1</v>
      </c>
      <c r="M98" s="23">
        <f t="shared" si="3"/>
        <v>11680.2</v>
      </c>
      <c r="N98" s="25">
        <f t="shared" si="4"/>
        <v>105121.8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  <c r="E99" s="23">
        <f>IFERROR(__xludf.DUMMYFUNCTION("SPLIT(C99,""_"")"),252.0)</f>
        <v>252</v>
      </c>
      <c r="F99" s="23" t="str">
        <f>IFERROR(__xludf.DUMMYFUNCTION("""COMPUTED_VALUE"""),"February")</f>
        <v>February</v>
      </c>
      <c r="G99" s="23">
        <f>IFERROR(__xludf.DUMMYFUNCTION("""COMPUTED_VALUE"""),16.0)</f>
        <v>16</v>
      </c>
      <c r="H99" s="23" t="str">
        <f>IFERROR(__xludf.DUMMYFUNCTION("""COMPUTED_VALUE"""),"ABC0023")</f>
        <v>ABC0023</v>
      </c>
      <c r="I99" s="23">
        <f t="shared" si="1"/>
        <v>252</v>
      </c>
      <c r="J99" s="23">
        <f>Vlookup(B99,Product_Tab!$A$2:$C$16,3,FALSE)</f>
        <v>378</v>
      </c>
      <c r="K99" s="23">
        <f t="shared" si="2"/>
        <v>95256</v>
      </c>
      <c r="L99" s="24">
        <f>Vlookup(D99,Customer_Tab!$A$2:$C$10,3,FALSE)</f>
        <v>0.15</v>
      </c>
      <c r="M99" s="23">
        <f t="shared" si="3"/>
        <v>14288.4</v>
      </c>
      <c r="N99" s="25">
        <f t="shared" si="4"/>
        <v>80967.6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  <c r="E100" s="23">
        <f>IFERROR(__xludf.DUMMYFUNCTION("SPLIT(C100,""_"")"),434.0)</f>
        <v>434</v>
      </c>
      <c r="F100" s="23" t="str">
        <f>IFERROR(__xludf.DUMMYFUNCTION("""COMPUTED_VALUE"""),"February")</f>
        <v>February</v>
      </c>
      <c r="G100" s="23">
        <f>IFERROR(__xludf.DUMMYFUNCTION("""COMPUTED_VALUE"""),12.0)</f>
        <v>12</v>
      </c>
      <c r="H100" s="23" t="str">
        <f>IFERROR(__xludf.DUMMYFUNCTION("""COMPUTED_VALUE"""),"ABC0024")</f>
        <v>ABC0024</v>
      </c>
      <c r="I100" s="23">
        <f t="shared" si="1"/>
        <v>434</v>
      </c>
      <c r="J100" s="23">
        <f>Vlookup(B100,Product_Tab!$A$2:$C$16,3,FALSE)</f>
        <v>378</v>
      </c>
      <c r="K100" s="23">
        <f t="shared" si="2"/>
        <v>164052</v>
      </c>
      <c r="L100" s="24">
        <f>Vlookup(D100,Customer_Tab!$A$2:$C$10,3,FALSE)</f>
        <v>0.18</v>
      </c>
      <c r="M100" s="23">
        <f t="shared" si="3"/>
        <v>29529.36</v>
      </c>
      <c r="N100" s="25">
        <f t="shared" si="4"/>
        <v>134522.64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  <c r="E101" s="23">
        <f>IFERROR(__xludf.DUMMYFUNCTION("SPLIT(C101,""_"")"),424.0)</f>
        <v>424</v>
      </c>
      <c r="F101" s="23" t="str">
        <f>IFERROR(__xludf.DUMMYFUNCTION("""COMPUTED_VALUE"""),"February")</f>
        <v>February</v>
      </c>
      <c r="G101" s="23">
        <f>IFERROR(__xludf.DUMMYFUNCTION("""COMPUTED_VALUE"""),13.0)</f>
        <v>13</v>
      </c>
      <c r="H101" s="23" t="str">
        <f>IFERROR(__xludf.DUMMYFUNCTION("""COMPUTED_VALUE"""),"ABC0025")</f>
        <v>ABC0025</v>
      </c>
      <c r="I101" s="23">
        <f t="shared" si="1"/>
        <v>424</v>
      </c>
      <c r="J101" s="23">
        <f>Vlookup(B101,Product_Tab!$A$2:$C$16,3,FALSE)</f>
        <v>378</v>
      </c>
      <c r="K101" s="23">
        <f t="shared" si="2"/>
        <v>160272</v>
      </c>
      <c r="L101" s="24">
        <f>Vlookup(D101,Customer_Tab!$A$2:$C$10,3,FALSE)</f>
        <v>0.1</v>
      </c>
      <c r="M101" s="23">
        <f t="shared" si="3"/>
        <v>16027.2</v>
      </c>
      <c r="N101" s="25">
        <f t="shared" si="4"/>
        <v>144244.8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  <c r="E102" s="23">
        <f>IFERROR(__xludf.DUMMYFUNCTION("SPLIT(C102,""_"")"),315.0)</f>
        <v>315</v>
      </c>
      <c r="F102" s="23" t="str">
        <f>IFERROR(__xludf.DUMMYFUNCTION("""COMPUTED_VALUE"""),"February")</f>
        <v>February</v>
      </c>
      <c r="G102" s="23">
        <f>IFERROR(__xludf.DUMMYFUNCTION("""COMPUTED_VALUE"""),1.0)</f>
        <v>1</v>
      </c>
      <c r="H102" s="23" t="str">
        <f>IFERROR(__xludf.DUMMYFUNCTION("""COMPUTED_VALUE"""),"ABC0026")</f>
        <v>ABC0026</v>
      </c>
      <c r="I102" s="23">
        <f t="shared" si="1"/>
        <v>315</v>
      </c>
      <c r="J102" s="23">
        <f>Vlookup(B102,Product_Tab!$A$2:$C$16,3,FALSE)</f>
        <v>378</v>
      </c>
      <c r="K102" s="23">
        <f t="shared" si="2"/>
        <v>119070</v>
      </c>
      <c r="L102" s="24">
        <f>Vlookup(D102,Customer_Tab!$A$2:$C$10,3,FALSE)</f>
        <v>0.18</v>
      </c>
      <c r="M102" s="23">
        <f t="shared" si="3"/>
        <v>21432.6</v>
      </c>
      <c r="N102" s="25">
        <f t="shared" si="4"/>
        <v>97637.4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  <c r="E103" s="23">
        <f>IFERROR(__xludf.DUMMYFUNCTION("SPLIT(C103,""_"")"),439.0)</f>
        <v>439</v>
      </c>
      <c r="F103" s="23" t="str">
        <f>IFERROR(__xludf.DUMMYFUNCTION("""COMPUTED_VALUE"""),"February")</f>
        <v>February</v>
      </c>
      <c r="G103" s="23">
        <f>IFERROR(__xludf.DUMMYFUNCTION("""COMPUTED_VALUE"""),7.0)</f>
        <v>7</v>
      </c>
      <c r="H103" s="23" t="str">
        <f>IFERROR(__xludf.DUMMYFUNCTION("""COMPUTED_VALUE"""),"ABC0023")</f>
        <v>ABC0023</v>
      </c>
      <c r="I103" s="23">
        <f t="shared" si="1"/>
        <v>439</v>
      </c>
      <c r="J103" s="23">
        <f>Vlookup(B103,Product_Tab!$A$2:$C$16,3,FALSE)</f>
        <v>545</v>
      </c>
      <c r="K103" s="23">
        <f t="shared" si="2"/>
        <v>239255</v>
      </c>
      <c r="L103" s="24">
        <f>Vlookup(D103,Customer_Tab!$A$2:$C$10,3,FALSE)</f>
        <v>0.15</v>
      </c>
      <c r="M103" s="23">
        <f t="shared" si="3"/>
        <v>35888.25</v>
      </c>
      <c r="N103" s="25">
        <f t="shared" si="4"/>
        <v>203366.75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  <c r="E104" s="23">
        <f>IFERROR(__xludf.DUMMYFUNCTION("SPLIT(C104,""_"")"),334.0)</f>
        <v>334</v>
      </c>
      <c r="F104" s="23" t="str">
        <f>IFERROR(__xludf.DUMMYFUNCTION("""COMPUTED_VALUE"""),"February")</f>
        <v>February</v>
      </c>
      <c r="G104" s="23">
        <f>IFERROR(__xludf.DUMMYFUNCTION("""COMPUTED_VALUE"""),18.0)</f>
        <v>18</v>
      </c>
      <c r="H104" s="23" t="str">
        <f>IFERROR(__xludf.DUMMYFUNCTION("""COMPUTED_VALUE"""),"ABC0024")</f>
        <v>ABC0024</v>
      </c>
      <c r="I104" s="23">
        <f t="shared" si="1"/>
        <v>334</v>
      </c>
      <c r="J104" s="23">
        <f>Vlookup(B104,Product_Tab!$A$2:$C$16,3,FALSE)</f>
        <v>545</v>
      </c>
      <c r="K104" s="23">
        <f t="shared" si="2"/>
        <v>182030</v>
      </c>
      <c r="L104" s="24">
        <f>Vlookup(D104,Customer_Tab!$A$2:$C$10,3,FALSE)</f>
        <v>0.15</v>
      </c>
      <c r="M104" s="23">
        <f t="shared" si="3"/>
        <v>27304.5</v>
      </c>
      <c r="N104" s="25">
        <f t="shared" si="4"/>
        <v>154725.5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  <c r="E105" s="23">
        <f>IFERROR(__xludf.DUMMYFUNCTION("SPLIT(C105,""_"")"),230.0)</f>
        <v>230</v>
      </c>
      <c r="F105" s="23" t="str">
        <f>IFERROR(__xludf.DUMMYFUNCTION("""COMPUTED_VALUE"""),"February")</f>
        <v>February</v>
      </c>
      <c r="G105" s="23">
        <f>IFERROR(__xludf.DUMMYFUNCTION("""COMPUTED_VALUE"""),11.0)</f>
        <v>11</v>
      </c>
      <c r="H105" s="23" t="str">
        <f>IFERROR(__xludf.DUMMYFUNCTION("""COMPUTED_VALUE"""),"ABC0025")</f>
        <v>ABC0025</v>
      </c>
      <c r="I105" s="23">
        <f t="shared" si="1"/>
        <v>230</v>
      </c>
      <c r="J105" s="23">
        <f>Vlookup(B105,Product_Tab!$A$2:$C$16,3,FALSE)</f>
        <v>545</v>
      </c>
      <c r="K105" s="23">
        <f t="shared" si="2"/>
        <v>125350</v>
      </c>
      <c r="L105" s="24">
        <f>Vlookup(D105,Customer_Tab!$A$2:$C$10,3,FALSE)</f>
        <v>0.18</v>
      </c>
      <c r="M105" s="23">
        <f t="shared" si="3"/>
        <v>22563</v>
      </c>
      <c r="N105" s="25">
        <f t="shared" si="4"/>
        <v>102787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  <c r="E106" s="23">
        <f>IFERROR(__xludf.DUMMYFUNCTION("SPLIT(C106,""_"")"),218.0)</f>
        <v>218</v>
      </c>
      <c r="F106" s="23" t="str">
        <f>IFERROR(__xludf.DUMMYFUNCTION("""COMPUTED_VALUE"""),"February")</f>
        <v>February</v>
      </c>
      <c r="G106" s="23">
        <f>IFERROR(__xludf.DUMMYFUNCTION("""COMPUTED_VALUE"""),22.0)</f>
        <v>22</v>
      </c>
      <c r="H106" s="23" t="str">
        <f>IFERROR(__xludf.DUMMYFUNCTION("""COMPUTED_VALUE"""),"ABC0026")</f>
        <v>ABC0026</v>
      </c>
      <c r="I106" s="23">
        <f t="shared" si="1"/>
        <v>218</v>
      </c>
      <c r="J106" s="23">
        <f>Vlookup(B106,Product_Tab!$A$2:$C$16,3,FALSE)</f>
        <v>545</v>
      </c>
      <c r="K106" s="23">
        <f t="shared" si="2"/>
        <v>118810</v>
      </c>
      <c r="L106" s="24">
        <f>Vlookup(D106,Customer_Tab!$A$2:$C$10,3,FALSE)</f>
        <v>0.18</v>
      </c>
      <c r="M106" s="23">
        <f t="shared" si="3"/>
        <v>21385.8</v>
      </c>
      <c r="N106" s="25">
        <f t="shared" si="4"/>
        <v>97424.2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  <c r="E107" s="23">
        <f>IFERROR(__xludf.DUMMYFUNCTION("SPLIT(C107,""_"")"),276.0)</f>
        <v>276</v>
      </c>
      <c r="F107" s="23" t="str">
        <f>IFERROR(__xludf.DUMMYFUNCTION("""COMPUTED_VALUE"""),"February")</f>
        <v>February</v>
      </c>
      <c r="G107" s="23">
        <f>IFERROR(__xludf.DUMMYFUNCTION("""COMPUTED_VALUE"""),28.0)</f>
        <v>28</v>
      </c>
      <c r="H107" s="23" t="str">
        <f>IFERROR(__xludf.DUMMYFUNCTION("""COMPUTED_VALUE"""),"ABC0027")</f>
        <v>ABC0027</v>
      </c>
      <c r="I107" s="23">
        <f t="shared" si="1"/>
        <v>276</v>
      </c>
      <c r="J107" s="23">
        <f>Vlookup(B107,Product_Tab!$A$2:$C$16,3,FALSE)</f>
        <v>545</v>
      </c>
      <c r="K107" s="23">
        <f t="shared" si="2"/>
        <v>150420</v>
      </c>
      <c r="L107" s="24">
        <f>Vlookup(D107,Customer_Tab!$A$2:$C$10,3,FALSE)</f>
        <v>0.1</v>
      </c>
      <c r="M107" s="23">
        <f t="shared" si="3"/>
        <v>15042</v>
      </c>
      <c r="N107" s="25">
        <f t="shared" si="4"/>
        <v>135378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  <c r="E108" s="23">
        <f>IFERROR(__xludf.DUMMYFUNCTION("SPLIT(C108,""_"")"),437.0)</f>
        <v>437</v>
      </c>
      <c r="F108" s="23" t="str">
        <f>IFERROR(__xludf.DUMMYFUNCTION("""COMPUTED_VALUE"""),"February")</f>
        <v>February</v>
      </c>
      <c r="G108" s="23">
        <f>IFERROR(__xludf.DUMMYFUNCTION("""COMPUTED_VALUE"""),15.0)</f>
        <v>15</v>
      </c>
      <c r="H108" s="23" t="str">
        <f>IFERROR(__xludf.DUMMYFUNCTION("""COMPUTED_VALUE"""),"ABC0028")</f>
        <v>ABC0028</v>
      </c>
      <c r="I108" s="23">
        <f t="shared" si="1"/>
        <v>437</v>
      </c>
      <c r="J108" s="23">
        <f>Vlookup(B108,Product_Tab!$A$2:$C$16,3,FALSE)</f>
        <v>545</v>
      </c>
      <c r="K108" s="23">
        <f t="shared" si="2"/>
        <v>238165</v>
      </c>
      <c r="L108" s="24">
        <f>Vlookup(D108,Customer_Tab!$A$2:$C$10,3,FALSE)</f>
        <v>0.1</v>
      </c>
      <c r="M108" s="23">
        <f t="shared" si="3"/>
        <v>23816.5</v>
      </c>
      <c r="N108" s="25">
        <f t="shared" si="4"/>
        <v>214348.5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  <c r="E109" s="23">
        <f>IFERROR(__xludf.DUMMYFUNCTION("SPLIT(C109,""_"")"),232.0)</f>
        <v>232</v>
      </c>
      <c r="F109" s="23" t="str">
        <f>IFERROR(__xludf.DUMMYFUNCTION("""COMPUTED_VALUE"""),"February")</f>
        <v>February</v>
      </c>
      <c r="G109" s="23">
        <f>IFERROR(__xludf.DUMMYFUNCTION("""COMPUTED_VALUE"""),21.0)</f>
        <v>21</v>
      </c>
      <c r="H109" s="23" t="str">
        <f>IFERROR(__xludf.DUMMYFUNCTION("""COMPUTED_VALUE"""),"ABC0029")</f>
        <v>ABC0029</v>
      </c>
      <c r="I109" s="23">
        <f t="shared" si="1"/>
        <v>232</v>
      </c>
      <c r="J109" s="23">
        <f>Vlookup(B109,Product_Tab!$A$2:$C$16,3,FALSE)</f>
        <v>545</v>
      </c>
      <c r="K109" s="23">
        <f t="shared" si="2"/>
        <v>126440</v>
      </c>
      <c r="L109" s="24">
        <f>Vlookup(D109,Customer_Tab!$A$2:$C$10,3,FALSE)</f>
        <v>0.15</v>
      </c>
      <c r="M109" s="23">
        <f t="shared" si="3"/>
        <v>18966</v>
      </c>
      <c r="N109" s="25">
        <f t="shared" si="4"/>
        <v>107474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  <c r="E110" s="23">
        <f>IFERROR(__xludf.DUMMYFUNCTION("SPLIT(C110,""_"")"),262.0)</f>
        <v>262</v>
      </c>
      <c r="F110" s="23" t="str">
        <f>IFERROR(__xludf.DUMMYFUNCTION("""COMPUTED_VALUE"""),"February")</f>
        <v>February</v>
      </c>
      <c r="G110" s="23">
        <f>IFERROR(__xludf.DUMMYFUNCTION("""COMPUTED_VALUE"""),9.0)</f>
        <v>9</v>
      </c>
      <c r="H110" s="23" t="str">
        <f>IFERROR(__xludf.DUMMYFUNCTION("""COMPUTED_VALUE"""),"ABC0030")</f>
        <v>ABC0030</v>
      </c>
      <c r="I110" s="23">
        <f t="shared" si="1"/>
        <v>262</v>
      </c>
      <c r="J110" s="23">
        <f>Vlookup(B110,Product_Tab!$A$2:$C$16,3,FALSE)</f>
        <v>545</v>
      </c>
      <c r="K110" s="23">
        <f t="shared" si="2"/>
        <v>142790</v>
      </c>
      <c r="L110" s="24">
        <f>Vlookup(D110,Customer_Tab!$A$2:$C$10,3,FALSE)</f>
        <v>0.18</v>
      </c>
      <c r="M110" s="23">
        <f t="shared" si="3"/>
        <v>25702.2</v>
      </c>
      <c r="N110" s="25">
        <f t="shared" si="4"/>
        <v>117087.8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  <c r="E111" s="23">
        <f>IFERROR(__xludf.DUMMYFUNCTION("SPLIT(C111,""_"")"),498.0)</f>
        <v>498</v>
      </c>
      <c r="F111" s="23" t="str">
        <f>IFERROR(__xludf.DUMMYFUNCTION("""COMPUTED_VALUE"""),"February")</f>
        <v>February</v>
      </c>
      <c r="G111" s="23">
        <f>IFERROR(__xludf.DUMMYFUNCTION("""COMPUTED_VALUE"""),17.0)</f>
        <v>17</v>
      </c>
      <c r="H111" s="23" t="str">
        <f>IFERROR(__xludf.DUMMYFUNCTION("""COMPUTED_VALUE"""),"ABC0031")</f>
        <v>ABC0031</v>
      </c>
      <c r="I111" s="23">
        <f t="shared" si="1"/>
        <v>498</v>
      </c>
      <c r="J111" s="23">
        <f>Vlookup(B111,Product_Tab!$A$2:$C$16,3,FALSE)</f>
        <v>545</v>
      </c>
      <c r="K111" s="23">
        <f t="shared" si="2"/>
        <v>271410</v>
      </c>
      <c r="L111" s="24">
        <f>Vlookup(D111,Customer_Tab!$A$2:$C$10,3,FALSE)</f>
        <v>0.1</v>
      </c>
      <c r="M111" s="23">
        <f t="shared" si="3"/>
        <v>27141</v>
      </c>
      <c r="N111" s="25">
        <f t="shared" si="4"/>
        <v>244269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  <c r="E112" s="23">
        <f>IFERROR(__xludf.DUMMYFUNCTION("SPLIT(C112,""_"")"),397.0)</f>
        <v>397</v>
      </c>
      <c r="F112" s="23" t="str">
        <f>IFERROR(__xludf.DUMMYFUNCTION("""COMPUTED_VALUE"""),"February")</f>
        <v>February</v>
      </c>
      <c r="G112" s="23">
        <f>IFERROR(__xludf.DUMMYFUNCTION("""COMPUTED_VALUE"""),21.0)</f>
        <v>21</v>
      </c>
      <c r="H112" s="23" t="str">
        <f>IFERROR(__xludf.DUMMYFUNCTION("""COMPUTED_VALUE"""),"ABC0029")</f>
        <v>ABC0029</v>
      </c>
      <c r="I112" s="23">
        <f t="shared" si="1"/>
        <v>397</v>
      </c>
      <c r="J112" s="23">
        <f>Vlookup(B112,Product_Tab!$A$2:$C$16,3,FALSE)</f>
        <v>545</v>
      </c>
      <c r="K112" s="23">
        <f t="shared" si="2"/>
        <v>216365</v>
      </c>
      <c r="L112" s="24">
        <f>Vlookup(D112,Customer_Tab!$A$2:$C$10,3,FALSE)</f>
        <v>0.15</v>
      </c>
      <c r="M112" s="23">
        <f t="shared" si="3"/>
        <v>32454.75</v>
      </c>
      <c r="N112" s="25">
        <f t="shared" si="4"/>
        <v>183910.25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  <c r="E113" s="23">
        <f>IFERROR(__xludf.DUMMYFUNCTION("SPLIT(C113,""_"")"),369.0)</f>
        <v>369</v>
      </c>
      <c r="F113" s="23" t="str">
        <f>IFERROR(__xludf.DUMMYFUNCTION("""COMPUTED_VALUE"""),"February")</f>
        <v>February</v>
      </c>
      <c r="G113" s="23">
        <f>IFERROR(__xludf.DUMMYFUNCTION("""COMPUTED_VALUE"""),12.0)</f>
        <v>12</v>
      </c>
      <c r="H113" s="23" t="str">
        <f>IFERROR(__xludf.DUMMYFUNCTION("""COMPUTED_VALUE"""),"ABC0030")</f>
        <v>ABC0030</v>
      </c>
      <c r="I113" s="23">
        <f t="shared" si="1"/>
        <v>369</v>
      </c>
      <c r="J113" s="23">
        <f>Vlookup(B113,Product_Tab!$A$2:$C$16,3,FALSE)</f>
        <v>545</v>
      </c>
      <c r="K113" s="23">
        <f t="shared" si="2"/>
        <v>201105</v>
      </c>
      <c r="L113" s="24">
        <f>Vlookup(D113,Customer_Tab!$A$2:$C$10,3,FALSE)</f>
        <v>0.15</v>
      </c>
      <c r="M113" s="23">
        <f t="shared" si="3"/>
        <v>30165.75</v>
      </c>
      <c r="N113" s="25">
        <f t="shared" si="4"/>
        <v>170939.25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  <c r="E114" s="23">
        <f>IFERROR(__xludf.DUMMYFUNCTION("SPLIT(C114,""_"")"),280.0)</f>
        <v>280</v>
      </c>
      <c r="F114" s="23" t="str">
        <f>IFERROR(__xludf.DUMMYFUNCTION("""COMPUTED_VALUE"""),"February")</f>
        <v>February</v>
      </c>
      <c r="G114" s="23">
        <f>IFERROR(__xludf.DUMMYFUNCTION("""COMPUTED_VALUE"""),4.0)</f>
        <v>4</v>
      </c>
      <c r="H114" s="23" t="str">
        <f>IFERROR(__xludf.DUMMYFUNCTION("""COMPUTED_VALUE"""),"ABC0031")</f>
        <v>ABC0031</v>
      </c>
      <c r="I114" s="23">
        <f t="shared" si="1"/>
        <v>280</v>
      </c>
      <c r="J114" s="23">
        <f>Vlookup(B114,Product_Tab!$A$2:$C$16,3,FALSE)</f>
        <v>545</v>
      </c>
      <c r="K114" s="23">
        <f t="shared" si="2"/>
        <v>152600</v>
      </c>
      <c r="L114" s="24">
        <f>Vlookup(D114,Customer_Tab!$A$2:$C$10,3,FALSE)</f>
        <v>0.18</v>
      </c>
      <c r="M114" s="23">
        <f t="shared" si="3"/>
        <v>27468</v>
      </c>
      <c r="N114" s="25">
        <f t="shared" si="4"/>
        <v>125132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  <c r="E115" s="23">
        <f>IFERROR(__xludf.DUMMYFUNCTION("SPLIT(C115,""_"")"),319.0)</f>
        <v>319</v>
      </c>
      <c r="F115" s="23" t="str">
        <f>IFERROR(__xludf.DUMMYFUNCTION("""COMPUTED_VALUE"""),"February")</f>
        <v>February</v>
      </c>
      <c r="G115" s="23">
        <f>IFERROR(__xludf.DUMMYFUNCTION("""COMPUTED_VALUE"""),20.0)</f>
        <v>20</v>
      </c>
      <c r="H115" s="23" t="str">
        <f>IFERROR(__xludf.DUMMYFUNCTION("""COMPUTED_VALUE"""),"ABC0027")</f>
        <v>ABC0027</v>
      </c>
      <c r="I115" s="23">
        <f t="shared" si="1"/>
        <v>319</v>
      </c>
      <c r="J115" s="23">
        <f>Vlookup(B115,Product_Tab!$A$2:$C$16,3,FALSE)</f>
        <v>545</v>
      </c>
      <c r="K115" s="23">
        <f t="shared" si="2"/>
        <v>173855</v>
      </c>
      <c r="L115" s="24">
        <f>Vlookup(D115,Customer_Tab!$A$2:$C$10,3,FALSE)</f>
        <v>0.18</v>
      </c>
      <c r="M115" s="23">
        <f t="shared" si="3"/>
        <v>31293.9</v>
      </c>
      <c r="N115" s="25">
        <f t="shared" si="4"/>
        <v>142561.1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  <c r="E116" s="23">
        <f>IFERROR(__xludf.DUMMYFUNCTION("SPLIT(C116,""_"")"),232.0)</f>
        <v>232</v>
      </c>
      <c r="F116" s="23" t="str">
        <f>IFERROR(__xludf.DUMMYFUNCTION("""COMPUTED_VALUE"""),"February")</f>
        <v>February</v>
      </c>
      <c r="G116" s="23">
        <f>IFERROR(__xludf.DUMMYFUNCTION("""COMPUTED_VALUE"""),13.0)</f>
        <v>13</v>
      </c>
      <c r="H116" s="23" t="str">
        <f>IFERROR(__xludf.DUMMYFUNCTION("""COMPUTED_VALUE"""),"ABC0026")</f>
        <v>ABC0026</v>
      </c>
      <c r="I116" s="23">
        <f t="shared" si="1"/>
        <v>232</v>
      </c>
      <c r="J116" s="23">
        <f>Vlookup(B116,Product_Tab!$A$2:$C$16,3,FALSE)</f>
        <v>545</v>
      </c>
      <c r="K116" s="23">
        <f t="shared" si="2"/>
        <v>126440</v>
      </c>
      <c r="L116" s="24">
        <f>Vlookup(D116,Customer_Tab!$A$2:$C$10,3,FALSE)</f>
        <v>0.1</v>
      </c>
      <c r="M116" s="23">
        <f t="shared" si="3"/>
        <v>12644</v>
      </c>
      <c r="N116" s="25">
        <f t="shared" si="4"/>
        <v>113796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  <c r="E117" s="23">
        <f>IFERROR(__xludf.DUMMYFUNCTION("SPLIT(C117,""_"")"),484.0)</f>
        <v>484</v>
      </c>
      <c r="F117" s="23" t="str">
        <f>IFERROR(__xludf.DUMMYFUNCTION("""COMPUTED_VALUE"""),"February")</f>
        <v>February</v>
      </c>
      <c r="G117" s="23">
        <f>IFERROR(__xludf.DUMMYFUNCTION("""COMPUTED_VALUE"""),3.0)</f>
        <v>3</v>
      </c>
      <c r="H117" s="23" t="str">
        <f>IFERROR(__xludf.DUMMYFUNCTION("""COMPUTED_VALUE"""),"ABC0023")</f>
        <v>ABC0023</v>
      </c>
      <c r="I117" s="23">
        <f t="shared" si="1"/>
        <v>484</v>
      </c>
      <c r="J117" s="23">
        <f>Vlookup(B117,Product_Tab!$A$2:$C$16,3,FALSE)</f>
        <v>545</v>
      </c>
      <c r="K117" s="23">
        <f t="shared" si="2"/>
        <v>263780</v>
      </c>
      <c r="L117" s="24">
        <f>Vlookup(D117,Customer_Tab!$A$2:$C$10,3,FALSE)</f>
        <v>0.15</v>
      </c>
      <c r="M117" s="23">
        <f t="shared" si="3"/>
        <v>39567</v>
      </c>
      <c r="N117" s="25">
        <f t="shared" si="4"/>
        <v>224213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  <c r="E118" s="23">
        <f>IFERROR(__xludf.DUMMYFUNCTION("SPLIT(C118,""_"")"),345.0)</f>
        <v>345</v>
      </c>
      <c r="F118" s="23" t="str">
        <f>IFERROR(__xludf.DUMMYFUNCTION("""COMPUTED_VALUE"""),"February")</f>
        <v>February</v>
      </c>
      <c r="G118" s="23">
        <f>IFERROR(__xludf.DUMMYFUNCTION("""COMPUTED_VALUE"""),14.0)</f>
        <v>14</v>
      </c>
      <c r="H118" s="23" t="str">
        <f>IFERROR(__xludf.DUMMYFUNCTION("""COMPUTED_VALUE"""),"ABC0023")</f>
        <v>ABC0023</v>
      </c>
      <c r="I118" s="23">
        <f t="shared" si="1"/>
        <v>345</v>
      </c>
      <c r="J118" s="23">
        <f>Vlookup(B118,Product_Tab!$A$2:$C$16,3,FALSE)</f>
        <v>203</v>
      </c>
      <c r="K118" s="23">
        <f t="shared" si="2"/>
        <v>70035</v>
      </c>
      <c r="L118" s="24">
        <f>Vlookup(D118,Customer_Tab!$A$2:$C$10,3,FALSE)</f>
        <v>0.15</v>
      </c>
      <c r="M118" s="23">
        <f t="shared" si="3"/>
        <v>10505.25</v>
      </c>
      <c r="N118" s="25">
        <f t="shared" si="4"/>
        <v>59529.75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  <c r="E119" s="23">
        <f>IFERROR(__xludf.DUMMYFUNCTION("SPLIT(C119,""_"")"),343.0)</f>
        <v>343</v>
      </c>
      <c r="F119" s="23" t="str">
        <f>IFERROR(__xludf.DUMMYFUNCTION("""COMPUTED_VALUE"""),"February")</f>
        <v>February</v>
      </c>
      <c r="G119" s="23">
        <f>IFERROR(__xludf.DUMMYFUNCTION("""COMPUTED_VALUE"""),13.0)</f>
        <v>13</v>
      </c>
      <c r="H119" s="23" t="str">
        <f>IFERROR(__xludf.DUMMYFUNCTION("""COMPUTED_VALUE"""),"ABC0023")</f>
        <v>ABC0023</v>
      </c>
      <c r="I119" s="23">
        <f t="shared" si="1"/>
        <v>343</v>
      </c>
      <c r="J119" s="23">
        <f>Vlookup(B119,Product_Tab!$A$2:$C$16,3,FALSE)</f>
        <v>131</v>
      </c>
      <c r="K119" s="23">
        <f t="shared" si="2"/>
        <v>44933</v>
      </c>
      <c r="L119" s="24">
        <f>Vlookup(D119,Customer_Tab!$A$2:$C$10,3,FALSE)</f>
        <v>0.18</v>
      </c>
      <c r="M119" s="23">
        <f t="shared" si="3"/>
        <v>8087.94</v>
      </c>
      <c r="N119" s="25">
        <f t="shared" si="4"/>
        <v>36845.06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  <c r="E120" s="23">
        <f>IFERROR(__xludf.DUMMYFUNCTION("SPLIT(C120,""_"")"),426.0)</f>
        <v>426</v>
      </c>
      <c r="F120" s="23" t="str">
        <f>IFERROR(__xludf.DUMMYFUNCTION("""COMPUTED_VALUE"""),"February")</f>
        <v>February</v>
      </c>
      <c r="G120" s="23">
        <f>IFERROR(__xludf.DUMMYFUNCTION("""COMPUTED_VALUE"""),27.0)</f>
        <v>27</v>
      </c>
      <c r="H120" s="23" t="str">
        <f>IFERROR(__xludf.DUMMYFUNCTION("""COMPUTED_VALUE"""),"ABC0023")</f>
        <v>ABC0023</v>
      </c>
      <c r="I120" s="23">
        <f t="shared" si="1"/>
        <v>426</v>
      </c>
      <c r="J120" s="23">
        <f>Vlookup(B120,Product_Tab!$A$2:$C$16,3,FALSE)</f>
        <v>50</v>
      </c>
      <c r="K120" s="23">
        <f t="shared" si="2"/>
        <v>21300</v>
      </c>
      <c r="L120" s="24">
        <f>Vlookup(D120,Customer_Tab!$A$2:$C$10,3,FALSE)</f>
        <v>0.18</v>
      </c>
      <c r="M120" s="23">
        <f t="shared" si="3"/>
        <v>3834</v>
      </c>
      <c r="N120" s="25">
        <f t="shared" si="4"/>
        <v>17466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  <c r="E121" s="23">
        <f>IFERROR(__xludf.DUMMYFUNCTION("SPLIT(C121,""_"")"),355.0)</f>
        <v>355</v>
      </c>
      <c r="F121" s="23" t="str">
        <f>IFERROR(__xludf.DUMMYFUNCTION("""COMPUTED_VALUE"""),"February")</f>
        <v>February</v>
      </c>
      <c r="G121" s="23">
        <f>IFERROR(__xludf.DUMMYFUNCTION("""COMPUTED_VALUE"""),15.0)</f>
        <v>15</v>
      </c>
      <c r="H121" s="23" t="str">
        <f>IFERROR(__xludf.DUMMYFUNCTION("""COMPUTED_VALUE"""),"ABC0023")</f>
        <v>ABC0023</v>
      </c>
      <c r="I121" s="23">
        <f t="shared" si="1"/>
        <v>355</v>
      </c>
      <c r="J121" s="23">
        <f>Vlookup(B121,Product_Tab!$A$2:$C$16,3,FALSE)</f>
        <v>76</v>
      </c>
      <c r="K121" s="23">
        <f t="shared" si="2"/>
        <v>26980</v>
      </c>
      <c r="L121" s="24">
        <f>Vlookup(D121,Customer_Tab!$A$2:$C$10,3,FALSE)</f>
        <v>0.1</v>
      </c>
      <c r="M121" s="23">
        <f t="shared" si="3"/>
        <v>2698</v>
      </c>
      <c r="N121" s="25">
        <f t="shared" si="4"/>
        <v>24282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  <c r="E122" s="23">
        <f>IFERROR(__xludf.DUMMYFUNCTION("SPLIT(C122,""_"")"),374.0)</f>
        <v>374</v>
      </c>
      <c r="F122" s="23" t="str">
        <f>IFERROR(__xludf.DUMMYFUNCTION("""COMPUTED_VALUE"""),"February")</f>
        <v>February</v>
      </c>
      <c r="G122" s="23">
        <f>IFERROR(__xludf.DUMMYFUNCTION("""COMPUTED_VALUE"""),27.0)</f>
        <v>27</v>
      </c>
      <c r="H122" s="23" t="str">
        <f>IFERROR(__xludf.DUMMYFUNCTION("""COMPUTED_VALUE"""),"ABC0023")</f>
        <v>ABC0023</v>
      </c>
      <c r="I122" s="23">
        <f t="shared" si="1"/>
        <v>374</v>
      </c>
      <c r="J122" s="23">
        <f>Vlookup(B122,Product_Tab!$A$2:$C$16,3,FALSE)</f>
        <v>659</v>
      </c>
      <c r="K122" s="23">
        <f t="shared" si="2"/>
        <v>246466</v>
      </c>
      <c r="L122" s="24">
        <f>Vlookup(D122,Customer_Tab!$A$2:$C$10,3,FALSE)</f>
        <v>0.1</v>
      </c>
      <c r="M122" s="23">
        <f t="shared" si="3"/>
        <v>24646.6</v>
      </c>
      <c r="N122" s="25">
        <f t="shared" si="4"/>
        <v>221819.4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  <c r="E123" s="23">
        <f>IFERROR(__xludf.DUMMYFUNCTION("SPLIT(C123,""_"")"),451.0)</f>
        <v>451</v>
      </c>
      <c r="F123" s="23" t="str">
        <f>IFERROR(__xludf.DUMMYFUNCTION("""COMPUTED_VALUE"""),"February")</f>
        <v>February</v>
      </c>
      <c r="G123" s="23">
        <f>IFERROR(__xludf.DUMMYFUNCTION("""COMPUTED_VALUE"""),13.0)</f>
        <v>13</v>
      </c>
      <c r="H123" s="23" t="str">
        <f>IFERROR(__xludf.DUMMYFUNCTION("""COMPUTED_VALUE"""),"ABC0023")</f>
        <v>ABC0023</v>
      </c>
      <c r="I123" s="23">
        <f t="shared" si="1"/>
        <v>451</v>
      </c>
      <c r="J123" s="23">
        <f>Vlookup(B123,Product_Tab!$A$2:$C$16,3,FALSE)</f>
        <v>286</v>
      </c>
      <c r="K123" s="23">
        <f t="shared" si="2"/>
        <v>128986</v>
      </c>
      <c r="L123" s="24">
        <f>Vlookup(D123,Customer_Tab!$A$2:$C$10,3,FALSE)</f>
        <v>0.15</v>
      </c>
      <c r="M123" s="23">
        <f t="shared" si="3"/>
        <v>19347.9</v>
      </c>
      <c r="N123" s="25">
        <f t="shared" si="4"/>
        <v>109638.1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  <c r="E124" s="23">
        <f>IFERROR(__xludf.DUMMYFUNCTION("SPLIT(C124,""_"")"),294.0)</f>
        <v>294</v>
      </c>
      <c r="F124" s="23" t="str">
        <f>IFERROR(__xludf.DUMMYFUNCTION("""COMPUTED_VALUE"""),"February")</f>
        <v>February</v>
      </c>
      <c r="G124" s="23">
        <f>IFERROR(__xludf.DUMMYFUNCTION("""COMPUTED_VALUE"""),15.0)</f>
        <v>15</v>
      </c>
      <c r="H124" s="23" t="str">
        <f>IFERROR(__xludf.DUMMYFUNCTION("""COMPUTED_VALUE"""),"ABC0023")</f>
        <v>ABC0023</v>
      </c>
      <c r="I124" s="23">
        <f t="shared" si="1"/>
        <v>294</v>
      </c>
      <c r="J124" s="23">
        <f>Vlookup(B124,Product_Tab!$A$2:$C$16,3,FALSE)</f>
        <v>223</v>
      </c>
      <c r="K124" s="23">
        <f t="shared" si="2"/>
        <v>65562</v>
      </c>
      <c r="L124" s="24">
        <f>Vlookup(D124,Customer_Tab!$A$2:$C$10,3,FALSE)</f>
        <v>0.18</v>
      </c>
      <c r="M124" s="23">
        <f t="shared" si="3"/>
        <v>11801.16</v>
      </c>
      <c r="N124" s="25">
        <f t="shared" si="4"/>
        <v>53760.84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  <c r="E125" s="23">
        <f>IFERROR(__xludf.DUMMYFUNCTION("SPLIT(C125,""_"")"),418.0)</f>
        <v>418</v>
      </c>
      <c r="F125" s="23" t="str">
        <f>IFERROR(__xludf.DUMMYFUNCTION("""COMPUTED_VALUE"""),"February")</f>
        <v>February</v>
      </c>
      <c r="G125" s="23">
        <f>IFERROR(__xludf.DUMMYFUNCTION("""COMPUTED_VALUE"""),8.0)</f>
        <v>8</v>
      </c>
      <c r="H125" s="23" t="str">
        <f>IFERROR(__xludf.DUMMYFUNCTION("""COMPUTED_VALUE"""),"ABC0023")</f>
        <v>ABC0023</v>
      </c>
      <c r="I125" s="23">
        <f t="shared" si="1"/>
        <v>418</v>
      </c>
      <c r="J125" s="23">
        <f>Vlookup(B125,Product_Tab!$A$2:$C$16,3,FALSE)</f>
        <v>721</v>
      </c>
      <c r="K125" s="23">
        <f t="shared" si="2"/>
        <v>301378</v>
      </c>
      <c r="L125" s="24">
        <f>Vlookup(D125,Customer_Tab!$A$2:$C$10,3,FALSE)</f>
        <v>0.1</v>
      </c>
      <c r="M125" s="23">
        <f t="shared" si="3"/>
        <v>30137.8</v>
      </c>
      <c r="N125" s="25">
        <f t="shared" si="4"/>
        <v>271240.2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  <c r="E126" s="23">
        <f>IFERROR(__xludf.DUMMYFUNCTION("SPLIT(C126,""_"")"),272.0)</f>
        <v>272</v>
      </c>
      <c r="F126" s="23" t="str">
        <f>IFERROR(__xludf.DUMMYFUNCTION("""COMPUTED_VALUE"""),"February")</f>
        <v>February</v>
      </c>
      <c r="G126" s="23">
        <f>IFERROR(__xludf.DUMMYFUNCTION("""COMPUTED_VALUE"""),13.0)</f>
        <v>13</v>
      </c>
      <c r="H126" s="23" t="str">
        <f>IFERROR(__xludf.DUMMYFUNCTION("""COMPUTED_VALUE"""),"ABC0023")</f>
        <v>ABC0023</v>
      </c>
      <c r="I126" s="23">
        <f t="shared" si="1"/>
        <v>272</v>
      </c>
      <c r="J126" s="23">
        <f>Vlookup(B126,Product_Tab!$A$2:$C$16,3,FALSE)</f>
        <v>273</v>
      </c>
      <c r="K126" s="23">
        <f t="shared" si="2"/>
        <v>74256</v>
      </c>
      <c r="L126" s="24">
        <f>Vlookup(D126,Customer_Tab!$A$2:$C$10,3,FALSE)</f>
        <v>0.15</v>
      </c>
      <c r="M126" s="23">
        <f t="shared" si="3"/>
        <v>11138.4</v>
      </c>
      <c r="N126" s="25">
        <f t="shared" si="4"/>
        <v>63117.6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  <c r="E127" s="23">
        <f>IFERROR(__xludf.DUMMYFUNCTION("SPLIT(C127,""_"")"),313.0)</f>
        <v>313</v>
      </c>
      <c r="F127" s="23" t="str">
        <f>IFERROR(__xludf.DUMMYFUNCTION("""COMPUTED_VALUE"""),"February")</f>
        <v>February</v>
      </c>
      <c r="G127" s="23">
        <f>IFERROR(__xludf.DUMMYFUNCTION("""COMPUTED_VALUE"""),18.0)</f>
        <v>18</v>
      </c>
      <c r="H127" s="23" t="str">
        <f>IFERROR(__xludf.DUMMYFUNCTION("""COMPUTED_VALUE"""),"ABC0023")</f>
        <v>ABC0023</v>
      </c>
      <c r="I127" s="23">
        <f t="shared" si="1"/>
        <v>313</v>
      </c>
      <c r="J127" s="23">
        <f>Vlookup(B127,Product_Tab!$A$2:$C$16,3,FALSE)</f>
        <v>151</v>
      </c>
      <c r="K127" s="23">
        <f t="shared" si="2"/>
        <v>47263</v>
      </c>
      <c r="L127" s="24">
        <f>Vlookup(D127,Customer_Tab!$A$2:$C$10,3,FALSE)</f>
        <v>0.15</v>
      </c>
      <c r="M127" s="23">
        <f t="shared" si="3"/>
        <v>7089.45</v>
      </c>
      <c r="N127" s="25">
        <f t="shared" si="4"/>
        <v>40173.55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  <c r="E128" s="23">
        <f>IFERROR(__xludf.DUMMYFUNCTION("SPLIT(C128,""_"")"),463.0)</f>
        <v>463</v>
      </c>
      <c r="F128" s="23" t="str">
        <f>IFERROR(__xludf.DUMMYFUNCTION("""COMPUTED_VALUE"""),"February")</f>
        <v>February</v>
      </c>
      <c r="G128" s="23">
        <f>IFERROR(__xludf.DUMMYFUNCTION("""COMPUTED_VALUE"""),1.0)</f>
        <v>1</v>
      </c>
      <c r="H128" s="23" t="str">
        <f>IFERROR(__xludf.DUMMYFUNCTION("""COMPUTED_VALUE"""),"ABC0023")</f>
        <v>ABC0023</v>
      </c>
      <c r="I128" s="23">
        <f t="shared" si="1"/>
        <v>463</v>
      </c>
      <c r="J128" s="23">
        <f>Vlookup(B128,Product_Tab!$A$2:$C$16,3,FALSE)</f>
        <v>421</v>
      </c>
      <c r="K128" s="23">
        <f t="shared" si="2"/>
        <v>194923</v>
      </c>
      <c r="L128" s="24">
        <f>Vlookup(D128,Customer_Tab!$A$2:$C$10,3,FALSE)</f>
        <v>0.18</v>
      </c>
      <c r="M128" s="23">
        <f t="shared" si="3"/>
        <v>35086.14</v>
      </c>
      <c r="N128" s="25">
        <f t="shared" si="4"/>
        <v>159836.86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  <c r="E129" s="23">
        <f>IFERROR(__xludf.DUMMYFUNCTION("SPLIT(C129,""_"")"),235.0)</f>
        <v>235</v>
      </c>
      <c r="F129" s="23" t="str">
        <f>IFERROR(__xludf.DUMMYFUNCTION("""COMPUTED_VALUE"""),"February")</f>
        <v>February</v>
      </c>
      <c r="G129" s="23">
        <f>IFERROR(__xludf.DUMMYFUNCTION("""COMPUTED_VALUE"""),28.0)</f>
        <v>28</v>
      </c>
      <c r="H129" s="23" t="str">
        <f>IFERROR(__xludf.DUMMYFUNCTION("""COMPUTED_VALUE"""),"ABC0023")</f>
        <v>ABC0023</v>
      </c>
      <c r="I129" s="23">
        <f t="shared" si="1"/>
        <v>235</v>
      </c>
      <c r="J129" s="23">
        <f>Vlookup(B129,Product_Tab!$A$2:$C$16,3,FALSE)</f>
        <v>795</v>
      </c>
      <c r="K129" s="23">
        <f t="shared" si="2"/>
        <v>186825</v>
      </c>
      <c r="L129" s="24">
        <f>Vlookup(D129,Customer_Tab!$A$2:$C$10,3,FALSE)</f>
        <v>0.18</v>
      </c>
      <c r="M129" s="23">
        <f t="shared" si="3"/>
        <v>33628.5</v>
      </c>
      <c r="N129" s="25">
        <f t="shared" si="4"/>
        <v>153196.5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  <c r="E130" s="23">
        <f>IFERROR(__xludf.DUMMYFUNCTION("SPLIT(C130,""_"")"),234.0)</f>
        <v>234</v>
      </c>
      <c r="F130" s="23" t="str">
        <f>IFERROR(__xludf.DUMMYFUNCTION("""COMPUTED_VALUE"""),"February")</f>
        <v>February</v>
      </c>
      <c r="G130" s="23">
        <f>IFERROR(__xludf.DUMMYFUNCTION("""COMPUTED_VALUE"""),27.0)</f>
        <v>27</v>
      </c>
      <c r="H130" s="23" t="str">
        <f>IFERROR(__xludf.DUMMYFUNCTION("""COMPUTED_VALUE"""),"ABC0023")</f>
        <v>ABC0023</v>
      </c>
      <c r="I130" s="23">
        <f t="shared" si="1"/>
        <v>234</v>
      </c>
      <c r="J130" s="23">
        <f>Vlookup(B130,Product_Tab!$A$2:$C$16,3,FALSE)</f>
        <v>652</v>
      </c>
      <c r="K130" s="23">
        <f t="shared" si="2"/>
        <v>152568</v>
      </c>
      <c r="L130" s="24">
        <f>Vlookup(D130,Customer_Tab!$A$2:$C$10,3,FALSE)</f>
        <v>0.1</v>
      </c>
      <c r="M130" s="23">
        <f t="shared" si="3"/>
        <v>15256.8</v>
      </c>
      <c r="N130" s="25">
        <f t="shared" si="4"/>
        <v>137311.2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  <c r="E131" s="23">
        <f>IFERROR(__xludf.DUMMYFUNCTION("SPLIT(C131,""_"")"),250.0)</f>
        <v>250</v>
      </c>
      <c r="F131" s="23" t="str">
        <f>IFERROR(__xludf.DUMMYFUNCTION("""COMPUTED_VALUE"""),"February")</f>
        <v>February</v>
      </c>
      <c r="G131" s="23">
        <f>IFERROR(__xludf.DUMMYFUNCTION("""COMPUTED_VALUE"""),25.0)</f>
        <v>25</v>
      </c>
      <c r="H131" s="23" t="str">
        <f>IFERROR(__xludf.DUMMYFUNCTION("""COMPUTED_VALUE"""),"ABC0023")</f>
        <v>ABC0023</v>
      </c>
      <c r="I131" s="23">
        <f t="shared" si="1"/>
        <v>250</v>
      </c>
      <c r="J131" s="23">
        <f>Vlookup(B131,Product_Tab!$A$2:$C$16,3,FALSE)</f>
        <v>378</v>
      </c>
      <c r="K131" s="23">
        <f t="shared" si="2"/>
        <v>94500</v>
      </c>
      <c r="L131" s="24">
        <f>Vlookup(D131,Customer_Tab!$A$2:$C$10,3,FALSE)</f>
        <v>0.1</v>
      </c>
      <c r="M131" s="23">
        <f t="shared" si="3"/>
        <v>9450</v>
      </c>
      <c r="N131" s="25">
        <f t="shared" si="4"/>
        <v>85050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  <c r="E132" s="23">
        <f>IFERROR(__xludf.DUMMYFUNCTION("SPLIT(C132,""_"")"),307.0)</f>
        <v>307</v>
      </c>
      <c r="F132" s="23" t="str">
        <f>IFERROR(__xludf.DUMMYFUNCTION("""COMPUTED_VALUE"""),"February")</f>
        <v>February</v>
      </c>
      <c r="G132" s="23">
        <f>IFERROR(__xludf.DUMMYFUNCTION("""COMPUTED_VALUE"""),5.0)</f>
        <v>5</v>
      </c>
      <c r="H132" s="23" t="str">
        <f>IFERROR(__xludf.DUMMYFUNCTION("""COMPUTED_VALUE"""),"ABC0023")</f>
        <v>ABC0023</v>
      </c>
      <c r="I132" s="23">
        <f t="shared" si="1"/>
        <v>307</v>
      </c>
      <c r="J132" s="23">
        <f>Vlookup(B132,Product_Tab!$A$2:$C$16,3,FALSE)</f>
        <v>545</v>
      </c>
      <c r="K132" s="23">
        <f t="shared" si="2"/>
        <v>167315</v>
      </c>
      <c r="L132" s="24">
        <f>Vlookup(D132,Customer_Tab!$A$2:$C$10,3,FALSE)</f>
        <v>0.15</v>
      </c>
      <c r="M132" s="23">
        <f t="shared" si="3"/>
        <v>25097.25</v>
      </c>
      <c r="N132" s="25">
        <f t="shared" si="4"/>
        <v>142217.75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  <c r="E133" s="23">
        <f>IFERROR(__xludf.DUMMYFUNCTION("SPLIT(C133,""_"")"),264.0)</f>
        <v>264</v>
      </c>
      <c r="F133" s="23" t="str">
        <f>IFERROR(__xludf.DUMMYFUNCTION("""COMPUTED_VALUE"""),"February")</f>
        <v>February</v>
      </c>
      <c r="G133" s="23">
        <f>IFERROR(__xludf.DUMMYFUNCTION("""COMPUTED_VALUE"""),18.0)</f>
        <v>18</v>
      </c>
      <c r="H133" s="23" t="str">
        <f>IFERROR(__xludf.DUMMYFUNCTION("""COMPUTED_VALUE"""),"ABC0023")</f>
        <v>ABC0023</v>
      </c>
      <c r="I133" s="23">
        <f t="shared" si="1"/>
        <v>264</v>
      </c>
      <c r="J133" s="23">
        <f>Vlookup(B133,Product_Tab!$A$2:$C$16,3,FALSE)</f>
        <v>203</v>
      </c>
      <c r="K133" s="23">
        <f t="shared" si="2"/>
        <v>53592</v>
      </c>
      <c r="L133" s="24">
        <f>Vlookup(D133,Customer_Tab!$A$2:$C$10,3,FALSE)</f>
        <v>0.18</v>
      </c>
      <c r="M133" s="23">
        <f t="shared" si="3"/>
        <v>9646.56</v>
      </c>
      <c r="N133" s="25">
        <f t="shared" si="4"/>
        <v>43945.44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  <c r="E134" s="23">
        <f>IFERROR(__xludf.DUMMYFUNCTION("SPLIT(C134,""_"")"),319.0)</f>
        <v>319</v>
      </c>
      <c r="F134" s="23" t="str">
        <f>IFERROR(__xludf.DUMMYFUNCTION("""COMPUTED_VALUE"""),"February")</f>
        <v>February</v>
      </c>
      <c r="G134" s="23">
        <f>IFERROR(__xludf.DUMMYFUNCTION("""COMPUTED_VALUE"""),27.0)</f>
        <v>27</v>
      </c>
      <c r="H134" s="23" t="str">
        <f>IFERROR(__xludf.DUMMYFUNCTION("""COMPUTED_VALUE"""),"ABC0023")</f>
        <v>ABC0023</v>
      </c>
      <c r="I134" s="23">
        <f t="shared" si="1"/>
        <v>319</v>
      </c>
      <c r="J134" s="23">
        <f>Vlookup(B134,Product_Tab!$A$2:$C$16,3,FALSE)</f>
        <v>131</v>
      </c>
      <c r="K134" s="23">
        <f t="shared" si="2"/>
        <v>41789</v>
      </c>
      <c r="L134" s="24">
        <f>Vlookup(D134,Customer_Tab!$A$2:$C$10,3,FALSE)</f>
        <v>0.1</v>
      </c>
      <c r="M134" s="23">
        <f t="shared" si="3"/>
        <v>4178.9</v>
      </c>
      <c r="N134" s="25">
        <f t="shared" si="4"/>
        <v>37610.1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  <c r="E135" s="23">
        <f>IFERROR(__xludf.DUMMYFUNCTION("SPLIT(C135,""_"")"),227.0)</f>
        <v>227</v>
      </c>
      <c r="F135" s="23" t="str">
        <f>IFERROR(__xludf.DUMMYFUNCTION("""COMPUTED_VALUE"""),"February")</f>
        <v>February</v>
      </c>
      <c r="G135" s="23">
        <f>IFERROR(__xludf.DUMMYFUNCTION("""COMPUTED_VALUE"""),4.0)</f>
        <v>4</v>
      </c>
      <c r="H135" s="23" t="str">
        <f>IFERROR(__xludf.DUMMYFUNCTION("""COMPUTED_VALUE"""),"ABC0023")</f>
        <v>ABC0023</v>
      </c>
      <c r="I135" s="23">
        <f t="shared" si="1"/>
        <v>227</v>
      </c>
      <c r="J135" s="23">
        <f>Vlookup(B135,Product_Tab!$A$2:$C$16,3,FALSE)</f>
        <v>50</v>
      </c>
      <c r="K135" s="23">
        <f t="shared" si="2"/>
        <v>11350</v>
      </c>
      <c r="L135" s="24">
        <f>Vlookup(D135,Customer_Tab!$A$2:$C$10,3,FALSE)</f>
        <v>0.15</v>
      </c>
      <c r="M135" s="23">
        <f t="shared" si="3"/>
        <v>1702.5</v>
      </c>
      <c r="N135" s="25">
        <f t="shared" si="4"/>
        <v>9647.5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  <c r="E136" s="23">
        <f>IFERROR(__xludf.DUMMYFUNCTION("SPLIT(C136,""_"")"),304.0)</f>
        <v>304</v>
      </c>
      <c r="F136" s="23" t="str">
        <f>IFERROR(__xludf.DUMMYFUNCTION("""COMPUTED_VALUE"""),"February")</f>
        <v>February</v>
      </c>
      <c r="G136" s="23">
        <f>IFERROR(__xludf.DUMMYFUNCTION("""COMPUTED_VALUE"""),7.0)</f>
        <v>7</v>
      </c>
      <c r="H136" s="23" t="str">
        <f>IFERROR(__xludf.DUMMYFUNCTION("""COMPUTED_VALUE"""),"ABC0023")</f>
        <v>ABC0023</v>
      </c>
      <c r="I136" s="23">
        <f t="shared" si="1"/>
        <v>304</v>
      </c>
      <c r="J136" s="23">
        <f>Vlookup(B136,Product_Tab!$A$2:$C$16,3,FALSE)</f>
        <v>76</v>
      </c>
      <c r="K136" s="23">
        <f t="shared" si="2"/>
        <v>23104</v>
      </c>
      <c r="L136" s="24">
        <f>Vlookup(D136,Customer_Tab!$A$2:$C$10,3,FALSE)</f>
        <v>0.15</v>
      </c>
      <c r="M136" s="23">
        <f t="shared" si="3"/>
        <v>3465.6</v>
      </c>
      <c r="N136" s="25">
        <f t="shared" si="4"/>
        <v>19638.4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  <c r="E137" s="23">
        <f>IFERROR(__xludf.DUMMYFUNCTION("SPLIT(C137,""_"")"),239.0)</f>
        <v>239</v>
      </c>
      <c r="F137" s="23" t="str">
        <f>IFERROR(__xludf.DUMMYFUNCTION("""COMPUTED_VALUE"""),"February")</f>
        <v>February</v>
      </c>
      <c r="G137" s="23">
        <f>IFERROR(__xludf.DUMMYFUNCTION("""COMPUTED_VALUE"""),16.0)</f>
        <v>16</v>
      </c>
      <c r="H137" s="23" t="str">
        <f>IFERROR(__xludf.DUMMYFUNCTION("""COMPUTED_VALUE"""),"ABC0023")</f>
        <v>ABC0023</v>
      </c>
      <c r="I137" s="23">
        <f t="shared" si="1"/>
        <v>239</v>
      </c>
      <c r="J137" s="23">
        <f>Vlookup(B137,Product_Tab!$A$2:$C$16,3,FALSE)</f>
        <v>659</v>
      </c>
      <c r="K137" s="23">
        <f t="shared" si="2"/>
        <v>157501</v>
      </c>
      <c r="L137" s="24">
        <f>Vlookup(D137,Customer_Tab!$A$2:$C$10,3,FALSE)</f>
        <v>0.18</v>
      </c>
      <c r="M137" s="23">
        <f t="shared" si="3"/>
        <v>28350.18</v>
      </c>
      <c r="N137" s="25">
        <f t="shared" si="4"/>
        <v>129150.82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  <c r="E138" s="23">
        <f>IFERROR(__xludf.DUMMYFUNCTION("SPLIT(C138,""_"")"),206.0)</f>
        <v>206</v>
      </c>
      <c r="F138" s="23" t="str">
        <f>IFERROR(__xludf.DUMMYFUNCTION("""COMPUTED_VALUE"""),"February")</f>
        <v>February</v>
      </c>
      <c r="G138" s="23">
        <f>IFERROR(__xludf.DUMMYFUNCTION("""COMPUTED_VALUE"""),3.0)</f>
        <v>3</v>
      </c>
      <c r="H138" s="23" t="str">
        <f>IFERROR(__xludf.DUMMYFUNCTION("""COMPUTED_VALUE"""),"ABC0023")</f>
        <v>ABC0023</v>
      </c>
      <c r="I138" s="23">
        <f t="shared" si="1"/>
        <v>206</v>
      </c>
      <c r="J138" s="23">
        <f>Vlookup(B138,Product_Tab!$A$2:$C$16,3,FALSE)</f>
        <v>286</v>
      </c>
      <c r="K138" s="23">
        <f t="shared" si="2"/>
        <v>58916</v>
      </c>
      <c r="L138" s="24">
        <f>Vlookup(D138,Customer_Tab!$A$2:$C$10,3,FALSE)</f>
        <v>0.18</v>
      </c>
      <c r="M138" s="23">
        <f t="shared" si="3"/>
        <v>10604.88</v>
      </c>
      <c r="N138" s="25">
        <f t="shared" si="4"/>
        <v>48311.12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  <c r="E139" s="23">
        <f>IFERROR(__xludf.DUMMYFUNCTION("SPLIT(C139,""_"")"),210.0)</f>
        <v>210</v>
      </c>
      <c r="F139" s="23" t="str">
        <f>IFERROR(__xludf.DUMMYFUNCTION("""COMPUTED_VALUE"""),"February")</f>
        <v>February</v>
      </c>
      <c r="G139" s="23">
        <f>IFERROR(__xludf.DUMMYFUNCTION("""COMPUTED_VALUE"""),15.0)</f>
        <v>15</v>
      </c>
      <c r="H139" s="23" t="str">
        <f>IFERROR(__xludf.DUMMYFUNCTION("""COMPUTED_VALUE"""),"ABC0023")</f>
        <v>ABC0023</v>
      </c>
      <c r="I139" s="23">
        <f t="shared" si="1"/>
        <v>210</v>
      </c>
      <c r="J139" s="23">
        <f>Vlookup(B139,Product_Tab!$A$2:$C$16,3,FALSE)</f>
        <v>223</v>
      </c>
      <c r="K139" s="23">
        <f t="shared" si="2"/>
        <v>46830</v>
      </c>
      <c r="L139" s="24">
        <f>Vlookup(D139,Customer_Tab!$A$2:$C$10,3,FALSE)</f>
        <v>0.1</v>
      </c>
      <c r="M139" s="23">
        <f t="shared" si="3"/>
        <v>4683</v>
      </c>
      <c r="N139" s="25">
        <f t="shared" si="4"/>
        <v>42147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  <c r="E140" s="23">
        <f>IFERROR(__xludf.DUMMYFUNCTION("SPLIT(C140,""_"")"),298.0)</f>
        <v>298</v>
      </c>
      <c r="F140" s="23" t="str">
        <f>IFERROR(__xludf.DUMMYFUNCTION("""COMPUTED_VALUE"""),"February")</f>
        <v>February</v>
      </c>
      <c r="G140" s="23">
        <f>IFERROR(__xludf.DUMMYFUNCTION("""COMPUTED_VALUE"""),13.0)</f>
        <v>13</v>
      </c>
      <c r="H140" s="23" t="str">
        <f>IFERROR(__xludf.DUMMYFUNCTION("""COMPUTED_VALUE"""),"ABC0023")</f>
        <v>ABC0023</v>
      </c>
      <c r="I140" s="23">
        <f t="shared" si="1"/>
        <v>298</v>
      </c>
      <c r="J140" s="23">
        <f>Vlookup(B140,Product_Tab!$A$2:$C$16,3,FALSE)</f>
        <v>721</v>
      </c>
      <c r="K140" s="23">
        <f t="shared" si="2"/>
        <v>214858</v>
      </c>
      <c r="L140" s="24">
        <f>Vlookup(D140,Customer_Tab!$A$2:$C$10,3,FALSE)</f>
        <v>0.1</v>
      </c>
      <c r="M140" s="23">
        <f t="shared" si="3"/>
        <v>21485.8</v>
      </c>
      <c r="N140" s="25">
        <f t="shared" si="4"/>
        <v>193372.2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  <c r="E141" s="23">
        <f>IFERROR(__xludf.DUMMYFUNCTION("SPLIT(C141,""_"")"),490.0)</f>
        <v>490</v>
      </c>
      <c r="F141" s="23" t="str">
        <f>IFERROR(__xludf.DUMMYFUNCTION("""COMPUTED_VALUE"""),"February")</f>
        <v>February</v>
      </c>
      <c r="G141" s="23">
        <f>IFERROR(__xludf.DUMMYFUNCTION("""COMPUTED_VALUE"""),23.0)</f>
        <v>23</v>
      </c>
      <c r="H141" s="23" t="str">
        <f>IFERROR(__xludf.DUMMYFUNCTION("""COMPUTED_VALUE"""),"ABC0023")</f>
        <v>ABC0023</v>
      </c>
      <c r="I141" s="23">
        <f t="shared" si="1"/>
        <v>490</v>
      </c>
      <c r="J141" s="23">
        <f>Vlookup(B141,Product_Tab!$A$2:$C$16,3,FALSE)</f>
        <v>273</v>
      </c>
      <c r="K141" s="23">
        <f t="shared" si="2"/>
        <v>133770</v>
      </c>
      <c r="L141" s="24">
        <f>Vlookup(D141,Customer_Tab!$A$2:$C$10,3,FALSE)</f>
        <v>0.15</v>
      </c>
      <c r="M141" s="23">
        <f t="shared" si="3"/>
        <v>20065.5</v>
      </c>
      <c r="N141" s="25">
        <f t="shared" si="4"/>
        <v>113704.5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  <c r="E142" s="23">
        <f>IFERROR(__xludf.DUMMYFUNCTION("SPLIT(C142,""_"")"),346.0)</f>
        <v>346</v>
      </c>
      <c r="F142" s="23" t="str">
        <f>IFERROR(__xludf.DUMMYFUNCTION("""COMPUTED_VALUE"""),"February")</f>
        <v>February</v>
      </c>
      <c r="G142" s="23">
        <f>IFERROR(__xludf.DUMMYFUNCTION("""COMPUTED_VALUE"""),26.0)</f>
        <v>26</v>
      </c>
      <c r="H142" s="23" t="str">
        <f>IFERROR(__xludf.DUMMYFUNCTION("""COMPUTED_VALUE"""),"ABC0023")</f>
        <v>ABC0023</v>
      </c>
      <c r="I142" s="23">
        <f t="shared" si="1"/>
        <v>346</v>
      </c>
      <c r="J142" s="23">
        <f>Vlookup(B142,Product_Tab!$A$2:$C$16,3,FALSE)</f>
        <v>151</v>
      </c>
      <c r="K142" s="23">
        <f t="shared" si="2"/>
        <v>52246</v>
      </c>
      <c r="L142" s="24">
        <f>Vlookup(D142,Customer_Tab!$A$2:$C$10,3,FALSE)</f>
        <v>0.18</v>
      </c>
      <c r="M142" s="23">
        <f t="shared" si="3"/>
        <v>9404.28</v>
      </c>
      <c r="N142" s="25">
        <f t="shared" si="4"/>
        <v>42841.72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  <c r="E143" s="23">
        <f>IFERROR(__xludf.DUMMYFUNCTION("SPLIT(C143,""_"")"),378.0)</f>
        <v>378</v>
      </c>
      <c r="F143" s="23" t="str">
        <f>IFERROR(__xludf.DUMMYFUNCTION("""COMPUTED_VALUE"""),"February")</f>
        <v>February</v>
      </c>
      <c r="G143" s="23">
        <f>IFERROR(__xludf.DUMMYFUNCTION("""COMPUTED_VALUE"""),6.0)</f>
        <v>6</v>
      </c>
      <c r="H143" s="23" t="str">
        <f>IFERROR(__xludf.DUMMYFUNCTION("""COMPUTED_VALUE"""),"ABC0023")</f>
        <v>ABC0023</v>
      </c>
      <c r="I143" s="23">
        <f t="shared" si="1"/>
        <v>378</v>
      </c>
      <c r="J143" s="23">
        <f>Vlookup(B143,Product_Tab!$A$2:$C$16,3,FALSE)</f>
        <v>421</v>
      </c>
      <c r="K143" s="23">
        <f t="shared" si="2"/>
        <v>159138</v>
      </c>
      <c r="L143" s="24">
        <f>Vlookup(D143,Customer_Tab!$A$2:$C$10,3,FALSE)</f>
        <v>0.1</v>
      </c>
      <c r="M143" s="23">
        <f t="shared" si="3"/>
        <v>15913.8</v>
      </c>
      <c r="N143" s="25">
        <f t="shared" si="4"/>
        <v>143224.2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  <c r="E144" s="23">
        <f>IFERROR(__xludf.DUMMYFUNCTION("SPLIT(C144,""_"")"),298.0)</f>
        <v>298</v>
      </c>
      <c r="F144" s="23" t="str">
        <f>IFERROR(__xludf.DUMMYFUNCTION("""COMPUTED_VALUE"""),"February")</f>
        <v>February</v>
      </c>
      <c r="G144" s="23">
        <f>IFERROR(__xludf.DUMMYFUNCTION("""COMPUTED_VALUE"""),2.0)</f>
        <v>2</v>
      </c>
      <c r="H144" s="23" t="str">
        <f>IFERROR(__xludf.DUMMYFUNCTION("""COMPUTED_VALUE"""),"ABC0023")</f>
        <v>ABC0023</v>
      </c>
      <c r="I144" s="23">
        <f t="shared" si="1"/>
        <v>298</v>
      </c>
      <c r="J144" s="23">
        <f>Vlookup(B144,Product_Tab!$A$2:$C$16,3,FALSE)</f>
        <v>795</v>
      </c>
      <c r="K144" s="23">
        <f t="shared" si="2"/>
        <v>236910</v>
      </c>
      <c r="L144" s="24">
        <f>Vlookup(D144,Customer_Tab!$A$2:$C$10,3,FALSE)</f>
        <v>0.15</v>
      </c>
      <c r="M144" s="23">
        <f t="shared" si="3"/>
        <v>35536.5</v>
      </c>
      <c r="N144" s="25">
        <f t="shared" si="4"/>
        <v>201373.5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  <c r="E145" s="23">
        <f>IFERROR(__xludf.DUMMYFUNCTION("SPLIT(C145,""_"")"),302.0)</f>
        <v>302</v>
      </c>
      <c r="F145" s="23" t="str">
        <f>IFERROR(__xludf.DUMMYFUNCTION("""COMPUTED_VALUE"""),"February")</f>
        <v>February</v>
      </c>
      <c r="G145" s="23">
        <f>IFERROR(__xludf.DUMMYFUNCTION("""COMPUTED_VALUE"""),20.0)</f>
        <v>20</v>
      </c>
      <c r="H145" s="23" t="str">
        <f>IFERROR(__xludf.DUMMYFUNCTION("""COMPUTED_VALUE"""),"ABC0023")</f>
        <v>ABC0023</v>
      </c>
      <c r="I145" s="23">
        <f t="shared" si="1"/>
        <v>302</v>
      </c>
      <c r="J145" s="23">
        <f>Vlookup(B145,Product_Tab!$A$2:$C$16,3,FALSE)</f>
        <v>652</v>
      </c>
      <c r="K145" s="23">
        <f t="shared" si="2"/>
        <v>196904</v>
      </c>
      <c r="L145" s="24">
        <f>Vlookup(D145,Customer_Tab!$A$2:$C$10,3,FALSE)</f>
        <v>0.15</v>
      </c>
      <c r="M145" s="23">
        <f t="shared" si="3"/>
        <v>29535.6</v>
      </c>
      <c r="N145" s="25">
        <f t="shared" si="4"/>
        <v>167368.4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  <c r="E146" s="23">
        <f>IFERROR(__xludf.DUMMYFUNCTION("SPLIT(C146,""_"")"),438.0)</f>
        <v>438</v>
      </c>
      <c r="F146" s="23" t="str">
        <f>IFERROR(__xludf.DUMMYFUNCTION("""COMPUTED_VALUE"""),"February")</f>
        <v>February</v>
      </c>
      <c r="G146" s="23">
        <f>IFERROR(__xludf.DUMMYFUNCTION("""COMPUTED_VALUE"""),13.0)</f>
        <v>13</v>
      </c>
      <c r="H146" s="23" t="str">
        <f>IFERROR(__xludf.DUMMYFUNCTION("""COMPUTED_VALUE"""),"ABC0023")</f>
        <v>ABC0023</v>
      </c>
      <c r="I146" s="23">
        <f t="shared" si="1"/>
        <v>438</v>
      </c>
      <c r="J146" s="23">
        <f>Vlookup(B146,Product_Tab!$A$2:$C$16,3,FALSE)</f>
        <v>378</v>
      </c>
      <c r="K146" s="23">
        <f t="shared" si="2"/>
        <v>165564</v>
      </c>
      <c r="L146" s="24">
        <f>Vlookup(D146,Customer_Tab!$A$2:$C$10,3,FALSE)</f>
        <v>0.18</v>
      </c>
      <c r="M146" s="23">
        <f t="shared" si="3"/>
        <v>29801.52</v>
      </c>
      <c r="N146" s="25">
        <f t="shared" si="4"/>
        <v>135762.48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  <c r="E147" s="23">
        <f>IFERROR(__xludf.DUMMYFUNCTION("SPLIT(C147,""_"")"),340.0)</f>
        <v>340</v>
      </c>
      <c r="F147" s="23" t="str">
        <f>IFERROR(__xludf.DUMMYFUNCTION("""COMPUTED_VALUE"""),"February")</f>
        <v>February</v>
      </c>
      <c r="G147" s="23">
        <f>IFERROR(__xludf.DUMMYFUNCTION("""COMPUTED_VALUE"""),6.0)</f>
        <v>6</v>
      </c>
      <c r="H147" s="23" t="str">
        <f>IFERROR(__xludf.DUMMYFUNCTION("""COMPUTED_VALUE"""),"ABC0023")</f>
        <v>ABC0023</v>
      </c>
      <c r="I147" s="23">
        <f t="shared" si="1"/>
        <v>340</v>
      </c>
      <c r="J147" s="23">
        <f>Vlookup(B147,Product_Tab!$A$2:$C$16,3,FALSE)</f>
        <v>545</v>
      </c>
      <c r="K147" s="23">
        <f t="shared" si="2"/>
        <v>185300</v>
      </c>
      <c r="L147" s="24">
        <f>Vlookup(D147,Customer_Tab!$A$2:$C$10,3,FALSE)</f>
        <v>0.18</v>
      </c>
      <c r="M147" s="23">
        <f t="shared" si="3"/>
        <v>33354</v>
      </c>
      <c r="N147" s="25">
        <f t="shared" si="4"/>
        <v>151946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  <c r="E148" s="23">
        <f>IFERROR(__xludf.DUMMYFUNCTION("SPLIT(C148,""_"")"),354.0)</f>
        <v>354</v>
      </c>
      <c r="F148" s="23" t="str">
        <f>IFERROR(__xludf.DUMMYFUNCTION("""COMPUTED_VALUE"""),"February")</f>
        <v>February</v>
      </c>
      <c r="G148" s="23">
        <f>IFERROR(__xludf.DUMMYFUNCTION("""COMPUTED_VALUE"""),17.0)</f>
        <v>17</v>
      </c>
      <c r="H148" s="23" t="str">
        <f>IFERROR(__xludf.DUMMYFUNCTION("""COMPUTED_VALUE"""),"ABC0023")</f>
        <v>ABC0023</v>
      </c>
      <c r="I148" s="23">
        <f t="shared" si="1"/>
        <v>354</v>
      </c>
      <c r="J148" s="23">
        <f>Vlookup(B148,Product_Tab!$A$2:$C$16,3,FALSE)</f>
        <v>203</v>
      </c>
      <c r="K148" s="23">
        <f t="shared" si="2"/>
        <v>71862</v>
      </c>
      <c r="L148" s="24">
        <f>Vlookup(D148,Customer_Tab!$A$2:$C$10,3,FALSE)</f>
        <v>0.1</v>
      </c>
      <c r="M148" s="23">
        <f t="shared" si="3"/>
        <v>7186.2</v>
      </c>
      <c r="N148" s="25">
        <f t="shared" si="4"/>
        <v>64675.8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  <c r="E149" s="23">
        <f>IFERROR(__xludf.DUMMYFUNCTION("SPLIT(C149,""_"")"),460.0)</f>
        <v>460</v>
      </c>
      <c r="F149" s="23" t="str">
        <f>IFERROR(__xludf.DUMMYFUNCTION("""COMPUTED_VALUE"""),"February")</f>
        <v>February</v>
      </c>
      <c r="G149" s="23">
        <f>IFERROR(__xludf.DUMMYFUNCTION("""COMPUTED_VALUE"""),12.0)</f>
        <v>12</v>
      </c>
      <c r="H149" s="23" t="str">
        <f>IFERROR(__xludf.DUMMYFUNCTION("""COMPUTED_VALUE"""),"ABC0023")</f>
        <v>ABC0023</v>
      </c>
      <c r="I149" s="23">
        <f t="shared" si="1"/>
        <v>460</v>
      </c>
      <c r="J149" s="23">
        <f>Vlookup(B149,Product_Tab!$A$2:$C$16,3,FALSE)</f>
        <v>131</v>
      </c>
      <c r="K149" s="23">
        <f t="shared" si="2"/>
        <v>60260</v>
      </c>
      <c r="L149" s="24">
        <f>Vlookup(D149,Customer_Tab!$A$2:$C$10,3,FALSE)</f>
        <v>0.1</v>
      </c>
      <c r="M149" s="23">
        <f t="shared" si="3"/>
        <v>6026</v>
      </c>
      <c r="N149" s="25">
        <f t="shared" si="4"/>
        <v>54234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  <c r="E150" s="23">
        <f>IFERROR(__xludf.DUMMYFUNCTION("SPLIT(C150,""_"")"),352.0)</f>
        <v>352</v>
      </c>
      <c r="F150" s="23" t="str">
        <f>IFERROR(__xludf.DUMMYFUNCTION("""COMPUTED_VALUE"""),"February")</f>
        <v>February</v>
      </c>
      <c r="G150" s="23">
        <f>IFERROR(__xludf.DUMMYFUNCTION("""COMPUTED_VALUE"""),5.0)</f>
        <v>5</v>
      </c>
      <c r="H150" s="23" t="str">
        <f>IFERROR(__xludf.DUMMYFUNCTION("""COMPUTED_VALUE"""),"ABC0023")</f>
        <v>ABC0023</v>
      </c>
      <c r="I150" s="23">
        <f t="shared" si="1"/>
        <v>352</v>
      </c>
      <c r="J150" s="23">
        <f>Vlookup(B150,Product_Tab!$A$2:$C$16,3,FALSE)</f>
        <v>50</v>
      </c>
      <c r="K150" s="23">
        <f t="shared" si="2"/>
        <v>17600</v>
      </c>
      <c r="L150" s="24">
        <f>Vlookup(D150,Customer_Tab!$A$2:$C$10,3,FALSE)</f>
        <v>0.15</v>
      </c>
      <c r="M150" s="23">
        <f t="shared" si="3"/>
        <v>2640</v>
      </c>
      <c r="N150" s="25">
        <f t="shared" si="4"/>
        <v>14960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  <c r="E151" s="23">
        <f>IFERROR(__xludf.DUMMYFUNCTION("SPLIT(C151,""_"")"),203.0)</f>
        <v>203</v>
      </c>
      <c r="F151" s="23" t="str">
        <f>IFERROR(__xludf.DUMMYFUNCTION("""COMPUTED_VALUE"""),"February")</f>
        <v>February</v>
      </c>
      <c r="G151" s="23">
        <f>IFERROR(__xludf.DUMMYFUNCTION("""COMPUTED_VALUE"""),12.0)</f>
        <v>12</v>
      </c>
      <c r="H151" s="23" t="str">
        <f>IFERROR(__xludf.DUMMYFUNCTION("""COMPUTED_VALUE"""),"ABC0023")</f>
        <v>ABC0023</v>
      </c>
      <c r="I151" s="23">
        <f t="shared" si="1"/>
        <v>203</v>
      </c>
      <c r="J151" s="23">
        <f>Vlookup(B151,Product_Tab!$A$2:$C$16,3,FALSE)</f>
        <v>76</v>
      </c>
      <c r="K151" s="23">
        <f t="shared" si="2"/>
        <v>15428</v>
      </c>
      <c r="L151" s="24">
        <f>Vlookup(D151,Customer_Tab!$A$2:$C$10,3,FALSE)</f>
        <v>0.18</v>
      </c>
      <c r="M151" s="23">
        <f t="shared" si="3"/>
        <v>2777.04</v>
      </c>
      <c r="N151" s="25">
        <f t="shared" si="4"/>
        <v>12650.96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  <c r="E152" s="23">
        <f>IFERROR(__xludf.DUMMYFUNCTION("SPLIT(C152,""_"")"),466.0)</f>
        <v>466</v>
      </c>
      <c r="F152" s="23" t="str">
        <f>IFERROR(__xludf.DUMMYFUNCTION("""COMPUTED_VALUE"""),"February")</f>
        <v>February</v>
      </c>
      <c r="G152" s="23">
        <f>IFERROR(__xludf.DUMMYFUNCTION("""COMPUTED_VALUE"""),2.0)</f>
        <v>2</v>
      </c>
      <c r="H152" s="23" t="str">
        <f>IFERROR(__xludf.DUMMYFUNCTION("""COMPUTED_VALUE"""),"ABC0023")</f>
        <v>ABC0023</v>
      </c>
      <c r="I152" s="23">
        <f t="shared" si="1"/>
        <v>466</v>
      </c>
      <c r="J152" s="23">
        <f>Vlookup(B152,Product_Tab!$A$2:$C$16,3,FALSE)</f>
        <v>659</v>
      </c>
      <c r="K152" s="23">
        <f t="shared" si="2"/>
        <v>307094</v>
      </c>
      <c r="L152" s="24">
        <f>Vlookup(D152,Customer_Tab!$A$2:$C$10,3,FALSE)</f>
        <v>0.1</v>
      </c>
      <c r="M152" s="23">
        <f t="shared" si="3"/>
        <v>30709.4</v>
      </c>
      <c r="N152" s="25">
        <f t="shared" si="4"/>
        <v>276384.6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  <c r="E153" s="23">
        <f>IFERROR(__xludf.DUMMYFUNCTION("SPLIT(C153,""_"")"),403.0)</f>
        <v>403</v>
      </c>
      <c r="F153" s="23" t="str">
        <f>IFERROR(__xludf.DUMMYFUNCTION("""COMPUTED_VALUE"""),"February")</f>
        <v>February</v>
      </c>
      <c r="G153" s="23">
        <f>IFERROR(__xludf.DUMMYFUNCTION("""COMPUTED_VALUE"""),4.0)</f>
        <v>4</v>
      </c>
      <c r="H153" s="23" t="str">
        <f>IFERROR(__xludf.DUMMYFUNCTION("""COMPUTED_VALUE"""),"ABC0023")</f>
        <v>ABC0023</v>
      </c>
      <c r="I153" s="23">
        <f t="shared" si="1"/>
        <v>403</v>
      </c>
      <c r="J153" s="23">
        <f>Vlookup(B153,Product_Tab!$A$2:$C$16,3,FALSE)</f>
        <v>286</v>
      </c>
      <c r="K153" s="23">
        <f t="shared" si="2"/>
        <v>115258</v>
      </c>
      <c r="L153" s="24">
        <f>Vlookup(D153,Customer_Tab!$A$2:$C$10,3,FALSE)</f>
        <v>0.15</v>
      </c>
      <c r="M153" s="23">
        <f t="shared" si="3"/>
        <v>17288.7</v>
      </c>
      <c r="N153" s="25">
        <f t="shared" si="4"/>
        <v>97969.3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  <c r="E154" s="23">
        <f>IFERROR(__xludf.DUMMYFUNCTION("SPLIT(C154,""_"")"),233.0)</f>
        <v>233</v>
      </c>
      <c r="F154" s="23" t="str">
        <f>IFERROR(__xludf.DUMMYFUNCTION("""COMPUTED_VALUE"""),"February")</f>
        <v>February</v>
      </c>
      <c r="G154" s="23">
        <f>IFERROR(__xludf.DUMMYFUNCTION("""COMPUTED_VALUE"""),5.0)</f>
        <v>5</v>
      </c>
      <c r="H154" s="23" t="str">
        <f>IFERROR(__xludf.DUMMYFUNCTION("""COMPUTED_VALUE"""),"ABC0023")</f>
        <v>ABC0023</v>
      </c>
      <c r="I154" s="23">
        <f t="shared" si="1"/>
        <v>233</v>
      </c>
      <c r="J154" s="23">
        <f>Vlookup(B154,Product_Tab!$A$2:$C$16,3,FALSE)</f>
        <v>223</v>
      </c>
      <c r="K154" s="23">
        <f t="shared" si="2"/>
        <v>51959</v>
      </c>
      <c r="L154" s="24">
        <f>Vlookup(D154,Customer_Tab!$A$2:$C$10,3,FALSE)</f>
        <v>0.15</v>
      </c>
      <c r="M154" s="23">
        <f t="shared" si="3"/>
        <v>7793.85</v>
      </c>
      <c r="N154" s="25">
        <f t="shared" si="4"/>
        <v>44165.15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  <c r="E155" s="23">
        <f>IFERROR(__xludf.DUMMYFUNCTION("SPLIT(C155,""_"")"),411.0)</f>
        <v>411</v>
      </c>
      <c r="F155" s="23" t="str">
        <f>IFERROR(__xludf.DUMMYFUNCTION("""COMPUTED_VALUE"""),"February")</f>
        <v>February</v>
      </c>
      <c r="G155" s="23">
        <f>IFERROR(__xludf.DUMMYFUNCTION("""COMPUTED_VALUE"""),22.0)</f>
        <v>22</v>
      </c>
      <c r="H155" s="23" t="str">
        <f>IFERROR(__xludf.DUMMYFUNCTION("""COMPUTED_VALUE"""),"ABC0023")</f>
        <v>ABC0023</v>
      </c>
      <c r="I155" s="23">
        <f t="shared" si="1"/>
        <v>411</v>
      </c>
      <c r="J155" s="23">
        <f>Vlookup(B155,Product_Tab!$A$2:$C$16,3,FALSE)</f>
        <v>721</v>
      </c>
      <c r="K155" s="23">
        <f t="shared" si="2"/>
        <v>296331</v>
      </c>
      <c r="L155" s="24">
        <f>Vlookup(D155,Customer_Tab!$A$2:$C$10,3,FALSE)</f>
        <v>0.18</v>
      </c>
      <c r="M155" s="23">
        <f t="shared" si="3"/>
        <v>53339.58</v>
      </c>
      <c r="N155" s="25">
        <f t="shared" si="4"/>
        <v>242991.42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  <c r="E156" s="23">
        <f>IFERROR(__xludf.DUMMYFUNCTION("SPLIT(C156,""_"")"),235.0)</f>
        <v>235</v>
      </c>
      <c r="F156" s="23" t="str">
        <f>IFERROR(__xludf.DUMMYFUNCTION("""COMPUTED_VALUE"""),"February")</f>
        <v>February</v>
      </c>
      <c r="G156" s="23">
        <f>IFERROR(__xludf.DUMMYFUNCTION("""COMPUTED_VALUE"""),10.0)</f>
        <v>10</v>
      </c>
      <c r="H156" s="23" t="str">
        <f>IFERROR(__xludf.DUMMYFUNCTION("""COMPUTED_VALUE"""),"ABC0023")</f>
        <v>ABC0023</v>
      </c>
      <c r="I156" s="23">
        <f t="shared" si="1"/>
        <v>235</v>
      </c>
      <c r="J156" s="23">
        <f>Vlookup(B156,Product_Tab!$A$2:$C$16,3,FALSE)</f>
        <v>273</v>
      </c>
      <c r="K156" s="23">
        <f t="shared" si="2"/>
        <v>64155</v>
      </c>
      <c r="L156" s="24">
        <f>Vlookup(D156,Customer_Tab!$A$2:$C$10,3,FALSE)</f>
        <v>0.18</v>
      </c>
      <c r="M156" s="23">
        <f t="shared" si="3"/>
        <v>11547.9</v>
      </c>
      <c r="N156" s="25">
        <f t="shared" si="4"/>
        <v>52607.1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  <c r="E157" s="23">
        <f>IFERROR(__xludf.DUMMYFUNCTION("SPLIT(C157,""_"")"),386.0)</f>
        <v>386</v>
      </c>
      <c r="F157" s="23" t="str">
        <f>IFERROR(__xludf.DUMMYFUNCTION("""COMPUTED_VALUE"""),"February")</f>
        <v>February</v>
      </c>
      <c r="G157" s="23">
        <f>IFERROR(__xludf.DUMMYFUNCTION("""COMPUTED_VALUE"""),5.0)</f>
        <v>5</v>
      </c>
      <c r="H157" s="23" t="str">
        <f>IFERROR(__xludf.DUMMYFUNCTION("""COMPUTED_VALUE"""),"ABC0023")</f>
        <v>ABC0023</v>
      </c>
      <c r="I157" s="23">
        <f t="shared" si="1"/>
        <v>386</v>
      </c>
      <c r="J157" s="23">
        <f>Vlookup(B157,Product_Tab!$A$2:$C$16,3,FALSE)</f>
        <v>151</v>
      </c>
      <c r="K157" s="23">
        <f t="shared" si="2"/>
        <v>58286</v>
      </c>
      <c r="L157" s="24">
        <f>Vlookup(D157,Customer_Tab!$A$2:$C$10,3,FALSE)</f>
        <v>0.1</v>
      </c>
      <c r="M157" s="23">
        <f t="shared" si="3"/>
        <v>5828.6</v>
      </c>
      <c r="N157" s="25">
        <f t="shared" si="4"/>
        <v>52457.4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  <c r="E158" s="23">
        <f>IFERROR(__xludf.DUMMYFUNCTION("SPLIT(C158,""_"")"),422.0)</f>
        <v>422</v>
      </c>
      <c r="F158" s="23" t="str">
        <f>IFERROR(__xludf.DUMMYFUNCTION("""COMPUTED_VALUE"""),"February")</f>
        <v>February</v>
      </c>
      <c r="G158" s="23">
        <f>IFERROR(__xludf.DUMMYFUNCTION("""COMPUTED_VALUE"""),8.0)</f>
        <v>8</v>
      </c>
      <c r="H158" s="23" t="str">
        <f>IFERROR(__xludf.DUMMYFUNCTION("""COMPUTED_VALUE"""),"ABC0023")</f>
        <v>ABC0023</v>
      </c>
      <c r="I158" s="23">
        <f t="shared" si="1"/>
        <v>422</v>
      </c>
      <c r="J158" s="23">
        <f>Vlookup(B158,Product_Tab!$A$2:$C$16,3,FALSE)</f>
        <v>421</v>
      </c>
      <c r="K158" s="23">
        <f t="shared" si="2"/>
        <v>177662</v>
      </c>
      <c r="L158" s="24">
        <f>Vlookup(D158,Customer_Tab!$A$2:$C$10,3,FALSE)</f>
        <v>0.1</v>
      </c>
      <c r="M158" s="23">
        <f t="shared" si="3"/>
        <v>17766.2</v>
      </c>
      <c r="N158" s="25">
        <f t="shared" si="4"/>
        <v>159895.8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  <c r="E159" s="23">
        <f>IFERROR(__xludf.DUMMYFUNCTION("SPLIT(C159,""_"")"),355.0)</f>
        <v>355</v>
      </c>
      <c r="F159" s="23" t="str">
        <f>IFERROR(__xludf.DUMMYFUNCTION("""COMPUTED_VALUE"""),"February")</f>
        <v>February</v>
      </c>
      <c r="G159" s="23">
        <f>IFERROR(__xludf.DUMMYFUNCTION("""COMPUTED_VALUE"""),26.0)</f>
        <v>26</v>
      </c>
      <c r="H159" s="23" t="str">
        <f>IFERROR(__xludf.DUMMYFUNCTION("""COMPUTED_VALUE"""),"ABC0023")</f>
        <v>ABC0023</v>
      </c>
      <c r="I159" s="23">
        <f t="shared" si="1"/>
        <v>355</v>
      </c>
      <c r="J159" s="23">
        <f>Vlookup(B159,Product_Tab!$A$2:$C$16,3,FALSE)</f>
        <v>795</v>
      </c>
      <c r="K159" s="23">
        <f t="shared" si="2"/>
        <v>282225</v>
      </c>
      <c r="L159" s="24">
        <f>Vlookup(D159,Customer_Tab!$A$2:$C$10,3,FALSE)</f>
        <v>0.15</v>
      </c>
      <c r="M159" s="23">
        <f t="shared" si="3"/>
        <v>42333.75</v>
      </c>
      <c r="N159" s="25">
        <f t="shared" si="4"/>
        <v>239891.25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  <c r="E160" s="23">
        <f>IFERROR(__xludf.DUMMYFUNCTION("SPLIT(C160,""_"")"),238.0)</f>
        <v>238</v>
      </c>
      <c r="F160" s="23" t="str">
        <f>IFERROR(__xludf.DUMMYFUNCTION("""COMPUTED_VALUE"""),"March")</f>
        <v>March</v>
      </c>
      <c r="G160" s="23">
        <f>IFERROR(__xludf.DUMMYFUNCTION("""COMPUTED_VALUE"""),28.0)</f>
        <v>28</v>
      </c>
      <c r="H160" s="23" t="str">
        <f>IFERROR(__xludf.DUMMYFUNCTION("""COMPUTED_VALUE"""),"ABC0023")</f>
        <v>ABC0023</v>
      </c>
      <c r="I160" s="23">
        <f t="shared" si="1"/>
        <v>238</v>
      </c>
      <c r="J160" s="23">
        <f>Vlookup(B160,Product_Tab!$A$2:$C$16,3,FALSE)</f>
        <v>652</v>
      </c>
      <c r="K160" s="23">
        <f t="shared" si="2"/>
        <v>155176</v>
      </c>
      <c r="L160" s="24">
        <f>Vlookup(D160,Customer_Tab!$A$2:$C$10,3,FALSE)</f>
        <v>0.15</v>
      </c>
      <c r="M160" s="23">
        <f t="shared" si="3"/>
        <v>23276.4</v>
      </c>
      <c r="N160" s="25">
        <f t="shared" si="4"/>
        <v>131899.6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  <c r="E161" s="23">
        <f>IFERROR(__xludf.DUMMYFUNCTION("SPLIT(C161,""_"")"),418.0)</f>
        <v>418</v>
      </c>
      <c r="F161" s="23" t="str">
        <f>IFERROR(__xludf.DUMMYFUNCTION("""COMPUTED_VALUE"""),"March")</f>
        <v>March</v>
      </c>
      <c r="G161" s="23">
        <f>IFERROR(__xludf.DUMMYFUNCTION("""COMPUTED_VALUE"""),21.0)</f>
        <v>21</v>
      </c>
      <c r="H161" s="23" t="str">
        <f>IFERROR(__xludf.DUMMYFUNCTION("""COMPUTED_VALUE"""),"ABC0024")</f>
        <v>ABC0024</v>
      </c>
      <c r="I161" s="23">
        <f t="shared" si="1"/>
        <v>418</v>
      </c>
      <c r="J161" s="23">
        <f>Vlookup(B161,Product_Tab!$A$2:$C$16,3,FALSE)</f>
        <v>652</v>
      </c>
      <c r="K161" s="23">
        <f t="shared" si="2"/>
        <v>272536</v>
      </c>
      <c r="L161" s="24">
        <f>Vlookup(D161,Customer_Tab!$A$2:$C$10,3,FALSE)</f>
        <v>0.15</v>
      </c>
      <c r="M161" s="23">
        <f t="shared" si="3"/>
        <v>40880.4</v>
      </c>
      <c r="N161" s="25">
        <f t="shared" si="4"/>
        <v>231655.6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  <c r="E162" s="23">
        <f>IFERROR(__xludf.DUMMYFUNCTION("SPLIT(C162,""_"")"),475.0)</f>
        <v>475</v>
      </c>
      <c r="F162" s="23" t="str">
        <f>IFERROR(__xludf.DUMMYFUNCTION("""COMPUTED_VALUE"""),"March")</f>
        <v>March</v>
      </c>
      <c r="G162" s="23">
        <f>IFERROR(__xludf.DUMMYFUNCTION("""COMPUTED_VALUE"""),28.0)</f>
        <v>28</v>
      </c>
      <c r="H162" s="23" t="str">
        <f>IFERROR(__xludf.DUMMYFUNCTION("""COMPUTED_VALUE"""),"ABC0025")</f>
        <v>ABC0025</v>
      </c>
      <c r="I162" s="23">
        <f t="shared" si="1"/>
        <v>475</v>
      </c>
      <c r="J162" s="23">
        <f>Vlookup(B162,Product_Tab!$A$2:$C$16,3,FALSE)</f>
        <v>652</v>
      </c>
      <c r="K162" s="23">
        <f t="shared" si="2"/>
        <v>309700</v>
      </c>
      <c r="L162" s="24">
        <f>Vlookup(D162,Customer_Tab!$A$2:$C$10,3,FALSE)</f>
        <v>0.18</v>
      </c>
      <c r="M162" s="23">
        <f t="shared" si="3"/>
        <v>55746</v>
      </c>
      <c r="N162" s="25">
        <f t="shared" si="4"/>
        <v>253954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  <c r="E163" s="23">
        <f>IFERROR(__xludf.DUMMYFUNCTION("SPLIT(C163,""_"")"),475.0)</f>
        <v>475</v>
      </c>
      <c r="F163" s="23" t="str">
        <f>IFERROR(__xludf.DUMMYFUNCTION("""COMPUTED_VALUE"""),"March")</f>
        <v>March</v>
      </c>
      <c r="G163" s="23">
        <f>IFERROR(__xludf.DUMMYFUNCTION("""COMPUTED_VALUE"""),26.0)</f>
        <v>26</v>
      </c>
      <c r="H163" s="23" t="str">
        <f>IFERROR(__xludf.DUMMYFUNCTION("""COMPUTED_VALUE"""),"ABC0026")</f>
        <v>ABC0026</v>
      </c>
      <c r="I163" s="23">
        <f t="shared" si="1"/>
        <v>475</v>
      </c>
      <c r="J163" s="23">
        <f>Vlookup(B163,Product_Tab!$A$2:$C$16,3,FALSE)</f>
        <v>652</v>
      </c>
      <c r="K163" s="23">
        <f t="shared" si="2"/>
        <v>309700</v>
      </c>
      <c r="L163" s="24">
        <f>Vlookup(D163,Customer_Tab!$A$2:$C$10,3,FALSE)</f>
        <v>0.18</v>
      </c>
      <c r="M163" s="23">
        <f t="shared" si="3"/>
        <v>55746</v>
      </c>
      <c r="N163" s="25">
        <f t="shared" si="4"/>
        <v>253954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  <c r="E164" s="23">
        <f>IFERROR(__xludf.DUMMYFUNCTION("SPLIT(C164,""_"")"),463.0)</f>
        <v>463</v>
      </c>
      <c r="F164" s="23" t="str">
        <f>IFERROR(__xludf.DUMMYFUNCTION("""COMPUTED_VALUE"""),"March")</f>
        <v>March</v>
      </c>
      <c r="G164" s="23">
        <f>IFERROR(__xludf.DUMMYFUNCTION("""COMPUTED_VALUE"""),9.0)</f>
        <v>9</v>
      </c>
      <c r="H164" s="23" t="str">
        <f>IFERROR(__xludf.DUMMYFUNCTION("""COMPUTED_VALUE"""),"ABC0027")</f>
        <v>ABC0027</v>
      </c>
      <c r="I164" s="23">
        <f t="shared" si="1"/>
        <v>463</v>
      </c>
      <c r="J164" s="23">
        <f>Vlookup(B164,Product_Tab!$A$2:$C$16,3,FALSE)</f>
        <v>652</v>
      </c>
      <c r="K164" s="23">
        <f t="shared" si="2"/>
        <v>301876</v>
      </c>
      <c r="L164" s="24">
        <f>Vlookup(D164,Customer_Tab!$A$2:$C$10,3,FALSE)</f>
        <v>0.1</v>
      </c>
      <c r="M164" s="23">
        <f t="shared" si="3"/>
        <v>30187.6</v>
      </c>
      <c r="N164" s="25">
        <f t="shared" si="4"/>
        <v>271688.4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  <c r="E165" s="23">
        <f>IFERROR(__xludf.DUMMYFUNCTION("SPLIT(C165,""_"")"),221.0)</f>
        <v>221</v>
      </c>
      <c r="F165" s="23" t="str">
        <f>IFERROR(__xludf.DUMMYFUNCTION("""COMPUTED_VALUE"""),"March")</f>
        <v>March</v>
      </c>
      <c r="G165" s="23">
        <f>IFERROR(__xludf.DUMMYFUNCTION("""COMPUTED_VALUE"""),15.0)</f>
        <v>15</v>
      </c>
      <c r="H165" s="23" t="str">
        <f>IFERROR(__xludf.DUMMYFUNCTION("""COMPUTED_VALUE"""),"ABC0028")</f>
        <v>ABC0028</v>
      </c>
      <c r="I165" s="23">
        <f t="shared" si="1"/>
        <v>221</v>
      </c>
      <c r="J165" s="23">
        <f>Vlookup(B165,Product_Tab!$A$2:$C$16,3,FALSE)</f>
        <v>652</v>
      </c>
      <c r="K165" s="23">
        <f t="shared" si="2"/>
        <v>144092</v>
      </c>
      <c r="L165" s="24">
        <f>Vlookup(D165,Customer_Tab!$A$2:$C$10,3,FALSE)</f>
        <v>0.1</v>
      </c>
      <c r="M165" s="23">
        <f t="shared" si="3"/>
        <v>14409.2</v>
      </c>
      <c r="N165" s="25">
        <f t="shared" si="4"/>
        <v>129682.8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  <c r="E166" s="23">
        <f>IFERROR(__xludf.DUMMYFUNCTION("SPLIT(C166,""_"")"),374.0)</f>
        <v>374</v>
      </c>
      <c r="F166" s="23" t="str">
        <f>IFERROR(__xludf.DUMMYFUNCTION("""COMPUTED_VALUE"""),"March")</f>
        <v>March</v>
      </c>
      <c r="G166" s="23">
        <f>IFERROR(__xludf.DUMMYFUNCTION("""COMPUTED_VALUE"""),10.0)</f>
        <v>10</v>
      </c>
      <c r="H166" s="23" t="str">
        <f>IFERROR(__xludf.DUMMYFUNCTION("""COMPUTED_VALUE"""),"ABC0029")</f>
        <v>ABC0029</v>
      </c>
      <c r="I166" s="23">
        <f t="shared" si="1"/>
        <v>374</v>
      </c>
      <c r="J166" s="23">
        <f>Vlookup(B166,Product_Tab!$A$2:$C$16,3,FALSE)</f>
        <v>652</v>
      </c>
      <c r="K166" s="23">
        <f t="shared" si="2"/>
        <v>243848</v>
      </c>
      <c r="L166" s="24">
        <f>Vlookup(D166,Customer_Tab!$A$2:$C$10,3,FALSE)</f>
        <v>0.15</v>
      </c>
      <c r="M166" s="23">
        <f t="shared" si="3"/>
        <v>36577.2</v>
      </c>
      <c r="N166" s="25">
        <f t="shared" si="4"/>
        <v>207270.8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  <c r="E167" s="23">
        <f>IFERROR(__xludf.DUMMYFUNCTION("SPLIT(C167,""_"")"),311.0)</f>
        <v>311</v>
      </c>
      <c r="F167" s="23" t="str">
        <f>IFERROR(__xludf.DUMMYFUNCTION("""COMPUTED_VALUE"""),"March")</f>
        <v>March</v>
      </c>
      <c r="G167" s="23">
        <f>IFERROR(__xludf.DUMMYFUNCTION("""COMPUTED_VALUE"""),2.0)</f>
        <v>2</v>
      </c>
      <c r="H167" s="23" t="str">
        <f>IFERROR(__xludf.DUMMYFUNCTION("""COMPUTED_VALUE"""),"ABC0030")</f>
        <v>ABC0030</v>
      </c>
      <c r="I167" s="23">
        <f t="shared" si="1"/>
        <v>311</v>
      </c>
      <c r="J167" s="23">
        <f>Vlookup(B167,Product_Tab!$A$2:$C$16,3,FALSE)</f>
        <v>652</v>
      </c>
      <c r="K167" s="23">
        <f t="shared" si="2"/>
        <v>202772</v>
      </c>
      <c r="L167" s="24">
        <f>Vlookup(D167,Customer_Tab!$A$2:$C$10,3,FALSE)</f>
        <v>0.18</v>
      </c>
      <c r="M167" s="23">
        <f t="shared" si="3"/>
        <v>36498.96</v>
      </c>
      <c r="N167" s="25">
        <f t="shared" si="4"/>
        <v>166273.04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  <c r="E168" s="23">
        <f>IFERROR(__xludf.DUMMYFUNCTION("SPLIT(C168,""_"")"),329.0)</f>
        <v>329</v>
      </c>
      <c r="F168" s="23" t="str">
        <f>IFERROR(__xludf.DUMMYFUNCTION("""COMPUTED_VALUE"""),"March")</f>
        <v>March</v>
      </c>
      <c r="G168" s="23">
        <f>IFERROR(__xludf.DUMMYFUNCTION("""COMPUTED_VALUE"""),28.0)</f>
        <v>28</v>
      </c>
      <c r="H168" s="23" t="str">
        <f>IFERROR(__xludf.DUMMYFUNCTION("""COMPUTED_VALUE"""),"ABC0031")</f>
        <v>ABC0031</v>
      </c>
      <c r="I168" s="23">
        <f t="shared" si="1"/>
        <v>329</v>
      </c>
      <c r="J168" s="23">
        <f>Vlookup(B168,Product_Tab!$A$2:$C$16,3,FALSE)</f>
        <v>652</v>
      </c>
      <c r="K168" s="23">
        <f t="shared" si="2"/>
        <v>214508</v>
      </c>
      <c r="L168" s="24">
        <f>Vlookup(D168,Customer_Tab!$A$2:$C$10,3,FALSE)</f>
        <v>0.1</v>
      </c>
      <c r="M168" s="23">
        <f t="shared" si="3"/>
        <v>21450.8</v>
      </c>
      <c r="N168" s="25">
        <f t="shared" si="4"/>
        <v>193057.2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  <c r="E169" s="23">
        <f>IFERROR(__xludf.DUMMYFUNCTION("SPLIT(C169,""_"")"),347.0)</f>
        <v>347</v>
      </c>
      <c r="F169" s="23" t="str">
        <f>IFERROR(__xludf.DUMMYFUNCTION("""COMPUTED_VALUE"""),"March")</f>
        <v>March</v>
      </c>
      <c r="G169" s="23">
        <f>IFERROR(__xludf.DUMMYFUNCTION("""COMPUTED_VALUE"""),27.0)</f>
        <v>27</v>
      </c>
      <c r="H169" s="23" t="str">
        <f>IFERROR(__xludf.DUMMYFUNCTION("""COMPUTED_VALUE"""),"ABC0023")</f>
        <v>ABC0023</v>
      </c>
      <c r="I169" s="23">
        <f t="shared" si="1"/>
        <v>347</v>
      </c>
      <c r="J169" s="23">
        <f>Vlookup(B169,Product_Tab!$A$2:$C$16,3,FALSE)</f>
        <v>378</v>
      </c>
      <c r="K169" s="23">
        <f t="shared" si="2"/>
        <v>131166</v>
      </c>
      <c r="L169" s="24">
        <f>Vlookup(D169,Customer_Tab!$A$2:$C$10,3,FALSE)</f>
        <v>0.15</v>
      </c>
      <c r="M169" s="23">
        <f t="shared" si="3"/>
        <v>19674.9</v>
      </c>
      <c r="N169" s="25">
        <f t="shared" si="4"/>
        <v>111491.1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  <c r="E170" s="23">
        <f>IFERROR(__xludf.DUMMYFUNCTION("SPLIT(C170,""_"")"),305.0)</f>
        <v>305</v>
      </c>
      <c r="F170" s="23" t="str">
        <f>IFERROR(__xludf.DUMMYFUNCTION("""COMPUTED_VALUE"""),"March")</f>
        <v>March</v>
      </c>
      <c r="G170" s="23">
        <f>IFERROR(__xludf.DUMMYFUNCTION("""COMPUTED_VALUE"""),28.0)</f>
        <v>28</v>
      </c>
      <c r="H170" s="23" t="str">
        <f>IFERROR(__xludf.DUMMYFUNCTION("""COMPUTED_VALUE"""),"ABC0024")</f>
        <v>ABC0024</v>
      </c>
      <c r="I170" s="23">
        <f t="shared" si="1"/>
        <v>305</v>
      </c>
      <c r="J170" s="23">
        <f>Vlookup(B170,Product_Tab!$A$2:$C$16,3,FALSE)</f>
        <v>378</v>
      </c>
      <c r="K170" s="23">
        <f t="shared" si="2"/>
        <v>115290</v>
      </c>
      <c r="L170" s="24">
        <f>Vlookup(D170,Customer_Tab!$A$2:$C$10,3,FALSE)</f>
        <v>0.15</v>
      </c>
      <c r="M170" s="23">
        <f t="shared" si="3"/>
        <v>17293.5</v>
      </c>
      <c r="N170" s="25">
        <f t="shared" si="4"/>
        <v>97996.5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  <c r="E171" s="23">
        <f>IFERROR(__xludf.DUMMYFUNCTION("SPLIT(C171,""_"")"),397.0)</f>
        <v>397</v>
      </c>
      <c r="F171" s="23" t="str">
        <f>IFERROR(__xludf.DUMMYFUNCTION("""COMPUTED_VALUE"""),"March")</f>
        <v>March</v>
      </c>
      <c r="G171" s="23">
        <f>IFERROR(__xludf.DUMMYFUNCTION("""COMPUTED_VALUE"""),3.0)</f>
        <v>3</v>
      </c>
      <c r="H171" s="23" t="str">
        <f>IFERROR(__xludf.DUMMYFUNCTION("""COMPUTED_VALUE"""),"ABC0025")</f>
        <v>ABC0025</v>
      </c>
      <c r="I171" s="23">
        <f t="shared" si="1"/>
        <v>397</v>
      </c>
      <c r="J171" s="23">
        <f>Vlookup(B171,Product_Tab!$A$2:$C$16,3,FALSE)</f>
        <v>378</v>
      </c>
      <c r="K171" s="23">
        <f t="shared" si="2"/>
        <v>150066</v>
      </c>
      <c r="L171" s="24">
        <f>Vlookup(D171,Customer_Tab!$A$2:$C$10,3,FALSE)</f>
        <v>0.18</v>
      </c>
      <c r="M171" s="23">
        <f t="shared" si="3"/>
        <v>27011.88</v>
      </c>
      <c r="N171" s="25">
        <f t="shared" si="4"/>
        <v>123054.12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  <c r="E172" s="23">
        <f>IFERROR(__xludf.DUMMYFUNCTION("SPLIT(C172,""_"")"),404.0)</f>
        <v>404</v>
      </c>
      <c r="F172" s="23" t="str">
        <f>IFERROR(__xludf.DUMMYFUNCTION("""COMPUTED_VALUE"""),"March")</f>
        <v>March</v>
      </c>
      <c r="G172" s="23">
        <f>IFERROR(__xludf.DUMMYFUNCTION("""COMPUTED_VALUE"""),23.0)</f>
        <v>23</v>
      </c>
      <c r="H172" s="23" t="str">
        <f>IFERROR(__xludf.DUMMYFUNCTION("""COMPUTED_VALUE"""),"ABC0026")</f>
        <v>ABC0026</v>
      </c>
      <c r="I172" s="23">
        <f t="shared" si="1"/>
        <v>404</v>
      </c>
      <c r="J172" s="23">
        <f>Vlookup(B172,Product_Tab!$A$2:$C$16,3,FALSE)</f>
        <v>378</v>
      </c>
      <c r="K172" s="23">
        <f t="shared" si="2"/>
        <v>152712</v>
      </c>
      <c r="L172" s="24">
        <f>Vlookup(D172,Customer_Tab!$A$2:$C$10,3,FALSE)</f>
        <v>0.18</v>
      </c>
      <c r="M172" s="23">
        <f t="shared" si="3"/>
        <v>27488.16</v>
      </c>
      <c r="N172" s="25">
        <f t="shared" si="4"/>
        <v>125223.84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  <c r="E173" s="23">
        <f>IFERROR(__xludf.DUMMYFUNCTION("SPLIT(C173,""_"")"),353.0)</f>
        <v>353</v>
      </c>
      <c r="F173" s="23" t="str">
        <f>IFERROR(__xludf.DUMMYFUNCTION("""COMPUTED_VALUE"""),"March")</f>
        <v>March</v>
      </c>
      <c r="G173" s="23">
        <f>IFERROR(__xludf.DUMMYFUNCTION("""COMPUTED_VALUE"""),20.0)</f>
        <v>20</v>
      </c>
      <c r="H173" s="23" t="str">
        <f>IFERROR(__xludf.DUMMYFUNCTION("""COMPUTED_VALUE"""),"ABC0027")</f>
        <v>ABC0027</v>
      </c>
      <c r="I173" s="23">
        <f t="shared" si="1"/>
        <v>353</v>
      </c>
      <c r="J173" s="23">
        <f>Vlookup(B173,Product_Tab!$A$2:$C$16,3,FALSE)</f>
        <v>378</v>
      </c>
      <c r="K173" s="23">
        <f t="shared" si="2"/>
        <v>133434</v>
      </c>
      <c r="L173" s="24">
        <f>Vlookup(D173,Customer_Tab!$A$2:$C$10,3,FALSE)</f>
        <v>0.1</v>
      </c>
      <c r="M173" s="23">
        <f t="shared" si="3"/>
        <v>13343.4</v>
      </c>
      <c r="N173" s="25">
        <f t="shared" si="4"/>
        <v>120090.6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  <c r="E174" s="23">
        <f>IFERROR(__xludf.DUMMYFUNCTION("SPLIT(C174,""_"")"),337.0)</f>
        <v>337</v>
      </c>
      <c r="F174" s="23" t="str">
        <f>IFERROR(__xludf.DUMMYFUNCTION("""COMPUTED_VALUE"""),"March")</f>
        <v>March</v>
      </c>
      <c r="G174" s="23">
        <f>IFERROR(__xludf.DUMMYFUNCTION("""COMPUTED_VALUE"""),6.0)</f>
        <v>6</v>
      </c>
      <c r="H174" s="23" t="str">
        <f>IFERROR(__xludf.DUMMYFUNCTION("""COMPUTED_VALUE"""),"ABC0028")</f>
        <v>ABC0028</v>
      </c>
      <c r="I174" s="23">
        <f t="shared" si="1"/>
        <v>337</v>
      </c>
      <c r="J174" s="23">
        <f>Vlookup(B174,Product_Tab!$A$2:$C$16,3,FALSE)</f>
        <v>378</v>
      </c>
      <c r="K174" s="23">
        <f t="shared" si="2"/>
        <v>127386</v>
      </c>
      <c r="L174" s="24">
        <f>Vlookup(D174,Customer_Tab!$A$2:$C$10,3,FALSE)</f>
        <v>0.1</v>
      </c>
      <c r="M174" s="23">
        <f t="shared" si="3"/>
        <v>12738.6</v>
      </c>
      <c r="N174" s="25">
        <f t="shared" si="4"/>
        <v>114647.4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  <c r="E175" s="23">
        <f>IFERROR(__xludf.DUMMYFUNCTION("SPLIT(C175,""_"")"),398.0)</f>
        <v>398</v>
      </c>
      <c r="F175" s="23" t="str">
        <f>IFERROR(__xludf.DUMMYFUNCTION("""COMPUTED_VALUE"""),"March")</f>
        <v>March</v>
      </c>
      <c r="G175" s="23">
        <f>IFERROR(__xludf.DUMMYFUNCTION("""COMPUTED_VALUE"""),29.0)</f>
        <v>29</v>
      </c>
      <c r="H175" s="23" t="str">
        <f>IFERROR(__xludf.DUMMYFUNCTION("""COMPUTED_VALUE"""),"ABC0029")</f>
        <v>ABC0029</v>
      </c>
      <c r="I175" s="23">
        <f t="shared" si="1"/>
        <v>398</v>
      </c>
      <c r="J175" s="23">
        <f>Vlookup(B175,Product_Tab!$A$2:$C$16,3,FALSE)</f>
        <v>378</v>
      </c>
      <c r="K175" s="23">
        <f t="shared" si="2"/>
        <v>150444</v>
      </c>
      <c r="L175" s="24">
        <f>Vlookup(D175,Customer_Tab!$A$2:$C$10,3,FALSE)</f>
        <v>0.15</v>
      </c>
      <c r="M175" s="23">
        <f t="shared" si="3"/>
        <v>22566.6</v>
      </c>
      <c r="N175" s="25">
        <f t="shared" si="4"/>
        <v>127877.4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  <c r="E176" s="23">
        <f>IFERROR(__xludf.DUMMYFUNCTION("SPLIT(C176,""_"")"),289.0)</f>
        <v>289</v>
      </c>
      <c r="F176" s="23" t="str">
        <f>IFERROR(__xludf.DUMMYFUNCTION("""COMPUTED_VALUE"""),"March")</f>
        <v>March</v>
      </c>
      <c r="G176" s="23">
        <f>IFERROR(__xludf.DUMMYFUNCTION("""COMPUTED_VALUE"""),5.0)</f>
        <v>5</v>
      </c>
      <c r="H176" s="23" t="str">
        <f>IFERROR(__xludf.DUMMYFUNCTION("""COMPUTED_VALUE"""),"ABC0030")</f>
        <v>ABC0030</v>
      </c>
      <c r="I176" s="23">
        <f t="shared" si="1"/>
        <v>289</v>
      </c>
      <c r="J176" s="23">
        <f>Vlookup(B176,Product_Tab!$A$2:$C$16,3,FALSE)</f>
        <v>378</v>
      </c>
      <c r="K176" s="23">
        <f t="shared" si="2"/>
        <v>109242</v>
      </c>
      <c r="L176" s="24">
        <f>Vlookup(D176,Customer_Tab!$A$2:$C$10,3,FALSE)</f>
        <v>0.18</v>
      </c>
      <c r="M176" s="23">
        <f t="shared" si="3"/>
        <v>19663.56</v>
      </c>
      <c r="N176" s="25">
        <f t="shared" si="4"/>
        <v>89578.44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  <c r="E177" s="23">
        <f>IFERROR(__xludf.DUMMYFUNCTION("SPLIT(C177,""_"")"),413.0)</f>
        <v>413</v>
      </c>
      <c r="F177" s="23" t="str">
        <f>IFERROR(__xludf.DUMMYFUNCTION("""COMPUTED_VALUE"""),"March")</f>
        <v>March</v>
      </c>
      <c r="G177" s="23">
        <f>IFERROR(__xludf.DUMMYFUNCTION("""COMPUTED_VALUE"""),10.0)</f>
        <v>10</v>
      </c>
      <c r="H177" s="23" t="str">
        <f>IFERROR(__xludf.DUMMYFUNCTION("""COMPUTED_VALUE"""),"ABC0031")</f>
        <v>ABC0031</v>
      </c>
      <c r="I177" s="23">
        <f t="shared" si="1"/>
        <v>413</v>
      </c>
      <c r="J177" s="23">
        <f>Vlookup(B177,Product_Tab!$A$2:$C$16,3,FALSE)</f>
        <v>378</v>
      </c>
      <c r="K177" s="23">
        <f t="shared" si="2"/>
        <v>156114</v>
      </c>
      <c r="L177" s="24">
        <f>Vlookup(D177,Customer_Tab!$A$2:$C$10,3,FALSE)</f>
        <v>0.1</v>
      </c>
      <c r="M177" s="23">
        <f t="shared" si="3"/>
        <v>15611.4</v>
      </c>
      <c r="N177" s="25">
        <f t="shared" si="4"/>
        <v>140502.6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  <c r="E178" s="23">
        <f>IFERROR(__xludf.DUMMYFUNCTION("SPLIT(C178,""_"")"),342.0)</f>
        <v>342</v>
      </c>
      <c r="F178" s="23" t="str">
        <f>IFERROR(__xludf.DUMMYFUNCTION("""COMPUTED_VALUE"""),"March")</f>
        <v>March</v>
      </c>
      <c r="G178" s="23">
        <f>IFERROR(__xludf.DUMMYFUNCTION("""COMPUTED_VALUE"""),26.0)</f>
        <v>26</v>
      </c>
      <c r="H178" s="23" t="str">
        <f>IFERROR(__xludf.DUMMYFUNCTION("""COMPUTED_VALUE"""),"ABC0023")</f>
        <v>ABC0023</v>
      </c>
      <c r="I178" s="23">
        <f t="shared" si="1"/>
        <v>342</v>
      </c>
      <c r="J178" s="23">
        <f>Vlookup(B178,Product_Tab!$A$2:$C$16,3,FALSE)</f>
        <v>378</v>
      </c>
      <c r="K178" s="23">
        <f t="shared" si="2"/>
        <v>129276</v>
      </c>
      <c r="L178" s="24">
        <f>Vlookup(D178,Customer_Tab!$A$2:$C$10,3,FALSE)</f>
        <v>0.15</v>
      </c>
      <c r="M178" s="23">
        <f t="shared" si="3"/>
        <v>19391.4</v>
      </c>
      <c r="N178" s="25">
        <f t="shared" si="4"/>
        <v>109884.6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  <c r="E179" s="23">
        <f>IFERROR(__xludf.DUMMYFUNCTION("SPLIT(C179,""_"")"),331.0)</f>
        <v>331</v>
      </c>
      <c r="F179" s="23" t="str">
        <f>IFERROR(__xludf.DUMMYFUNCTION("""COMPUTED_VALUE"""),"March")</f>
        <v>March</v>
      </c>
      <c r="G179" s="23">
        <f>IFERROR(__xludf.DUMMYFUNCTION("""COMPUTED_VALUE"""),9.0)</f>
        <v>9</v>
      </c>
      <c r="H179" s="23" t="str">
        <f>IFERROR(__xludf.DUMMYFUNCTION("""COMPUTED_VALUE"""),"ABC0024")</f>
        <v>ABC0024</v>
      </c>
      <c r="I179" s="23">
        <f t="shared" si="1"/>
        <v>331</v>
      </c>
      <c r="J179" s="23">
        <f>Vlookup(B179,Product_Tab!$A$2:$C$16,3,FALSE)</f>
        <v>378</v>
      </c>
      <c r="K179" s="23">
        <f t="shared" si="2"/>
        <v>125118</v>
      </c>
      <c r="L179" s="24">
        <f>Vlookup(D179,Customer_Tab!$A$2:$C$10,3,FALSE)</f>
        <v>0.18</v>
      </c>
      <c r="M179" s="23">
        <f t="shared" si="3"/>
        <v>22521.24</v>
      </c>
      <c r="N179" s="25">
        <f t="shared" si="4"/>
        <v>102596.76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  <c r="E180" s="23">
        <f>IFERROR(__xludf.DUMMYFUNCTION("SPLIT(C180,""_"")"),429.0)</f>
        <v>429</v>
      </c>
      <c r="F180" s="23" t="str">
        <f>IFERROR(__xludf.DUMMYFUNCTION("""COMPUTED_VALUE"""),"March")</f>
        <v>March</v>
      </c>
      <c r="G180" s="23">
        <f>IFERROR(__xludf.DUMMYFUNCTION("""COMPUTED_VALUE"""),17.0)</f>
        <v>17</v>
      </c>
      <c r="H180" s="23" t="str">
        <f>IFERROR(__xludf.DUMMYFUNCTION("""COMPUTED_VALUE"""),"ABC0025")</f>
        <v>ABC0025</v>
      </c>
      <c r="I180" s="23">
        <f t="shared" si="1"/>
        <v>429</v>
      </c>
      <c r="J180" s="23">
        <f>Vlookup(B180,Product_Tab!$A$2:$C$16,3,FALSE)</f>
        <v>378</v>
      </c>
      <c r="K180" s="23">
        <f t="shared" si="2"/>
        <v>162162</v>
      </c>
      <c r="L180" s="24">
        <f>Vlookup(D180,Customer_Tab!$A$2:$C$10,3,FALSE)</f>
        <v>0.1</v>
      </c>
      <c r="M180" s="23">
        <f t="shared" si="3"/>
        <v>16216.2</v>
      </c>
      <c r="N180" s="25">
        <f t="shared" si="4"/>
        <v>145945.8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  <c r="E181" s="23">
        <f>IFERROR(__xludf.DUMMYFUNCTION("SPLIT(C181,""_"")"),438.0)</f>
        <v>438</v>
      </c>
      <c r="F181" s="23" t="str">
        <f>IFERROR(__xludf.DUMMYFUNCTION("""COMPUTED_VALUE"""),"March")</f>
        <v>March</v>
      </c>
      <c r="G181" s="23">
        <f>IFERROR(__xludf.DUMMYFUNCTION("""COMPUTED_VALUE"""),26.0)</f>
        <v>26</v>
      </c>
      <c r="H181" s="23" t="str">
        <f>IFERROR(__xludf.DUMMYFUNCTION("""COMPUTED_VALUE"""),"ABC0026")</f>
        <v>ABC0026</v>
      </c>
      <c r="I181" s="23">
        <f t="shared" si="1"/>
        <v>438</v>
      </c>
      <c r="J181" s="23">
        <f>Vlookup(B181,Product_Tab!$A$2:$C$16,3,FALSE)</f>
        <v>378</v>
      </c>
      <c r="K181" s="23">
        <f t="shared" si="2"/>
        <v>165564</v>
      </c>
      <c r="L181" s="24">
        <f>Vlookup(D181,Customer_Tab!$A$2:$C$10,3,FALSE)</f>
        <v>0.18</v>
      </c>
      <c r="M181" s="23">
        <f t="shared" si="3"/>
        <v>29801.52</v>
      </c>
      <c r="N181" s="25">
        <f t="shared" si="4"/>
        <v>135762.48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  <c r="E182" s="23">
        <f>IFERROR(__xludf.DUMMYFUNCTION("SPLIT(C182,""_"")"),493.0)</f>
        <v>493</v>
      </c>
      <c r="F182" s="23" t="str">
        <f>IFERROR(__xludf.DUMMYFUNCTION("""COMPUTED_VALUE"""),"March")</f>
        <v>March</v>
      </c>
      <c r="G182" s="23">
        <f>IFERROR(__xludf.DUMMYFUNCTION("""COMPUTED_VALUE"""),5.0)</f>
        <v>5</v>
      </c>
      <c r="H182" s="23" t="str">
        <f>IFERROR(__xludf.DUMMYFUNCTION("""COMPUTED_VALUE"""),"ABC0023")</f>
        <v>ABC0023</v>
      </c>
      <c r="I182" s="23">
        <f t="shared" si="1"/>
        <v>493</v>
      </c>
      <c r="J182" s="23">
        <f>Vlookup(B182,Product_Tab!$A$2:$C$16,3,FALSE)</f>
        <v>545</v>
      </c>
      <c r="K182" s="23">
        <f t="shared" si="2"/>
        <v>268685</v>
      </c>
      <c r="L182" s="24">
        <f>Vlookup(D182,Customer_Tab!$A$2:$C$10,3,FALSE)</f>
        <v>0.15</v>
      </c>
      <c r="M182" s="23">
        <f t="shared" si="3"/>
        <v>40302.75</v>
      </c>
      <c r="N182" s="25">
        <f t="shared" si="4"/>
        <v>228382.25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  <c r="E183" s="23">
        <f>IFERROR(__xludf.DUMMYFUNCTION("SPLIT(C183,""_"")"),300.0)</f>
        <v>300</v>
      </c>
      <c r="F183" s="23" t="str">
        <f>IFERROR(__xludf.DUMMYFUNCTION("""COMPUTED_VALUE"""),"March")</f>
        <v>March</v>
      </c>
      <c r="G183" s="23">
        <f>IFERROR(__xludf.DUMMYFUNCTION("""COMPUTED_VALUE"""),6.0)</f>
        <v>6</v>
      </c>
      <c r="H183" s="23" t="str">
        <f>IFERROR(__xludf.DUMMYFUNCTION("""COMPUTED_VALUE"""),"ABC0024")</f>
        <v>ABC0024</v>
      </c>
      <c r="I183" s="23">
        <f t="shared" si="1"/>
        <v>300</v>
      </c>
      <c r="J183" s="23">
        <f>Vlookup(B183,Product_Tab!$A$2:$C$16,3,FALSE)</f>
        <v>545</v>
      </c>
      <c r="K183" s="23">
        <f t="shared" si="2"/>
        <v>163500</v>
      </c>
      <c r="L183" s="24">
        <f>Vlookup(D183,Customer_Tab!$A$2:$C$10,3,FALSE)</f>
        <v>0.15</v>
      </c>
      <c r="M183" s="23">
        <f t="shared" si="3"/>
        <v>24525</v>
      </c>
      <c r="N183" s="25">
        <f t="shared" si="4"/>
        <v>138975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  <c r="E184" s="23">
        <f>IFERROR(__xludf.DUMMYFUNCTION("SPLIT(C184,""_"")"),245.0)</f>
        <v>245</v>
      </c>
      <c r="F184" s="23" t="str">
        <f>IFERROR(__xludf.DUMMYFUNCTION("""COMPUTED_VALUE"""),"March")</f>
        <v>March</v>
      </c>
      <c r="G184" s="23">
        <f>IFERROR(__xludf.DUMMYFUNCTION("""COMPUTED_VALUE"""),21.0)</f>
        <v>21</v>
      </c>
      <c r="H184" s="23" t="str">
        <f>IFERROR(__xludf.DUMMYFUNCTION("""COMPUTED_VALUE"""),"ABC0025")</f>
        <v>ABC0025</v>
      </c>
      <c r="I184" s="23">
        <f t="shared" si="1"/>
        <v>245</v>
      </c>
      <c r="J184" s="23">
        <f>Vlookup(B184,Product_Tab!$A$2:$C$16,3,FALSE)</f>
        <v>545</v>
      </c>
      <c r="K184" s="23">
        <f t="shared" si="2"/>
        <v>133525</v>
      </c>
      <c r="L184" s="24">
        <f>Vlookup(D184,Customer_Tab!$A$2:$C$10,3,FALSE)</f>
        <v>0.18</v>
      </c>
      <c r="M184" s="23">
        <f t="shared" si="3"/>
        <v>24034.5</v>
      </c>
      <c r="N184" s="25">
        <f t="shared" si="4"/>
        <v>109490.5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  <c r="E185" s="23">
        <f>IFERROR(__xludf.DUMMYFUNCTION("SPLIT(C185,""_"")"),220.0)</f>
        <v>220</v>
      </c>
      <c r="F185" s="23" t="str">
        <f>IFERROR(__xludf.DUMMYFUNCTION("""COMPUTED_VALUE"""),"March")</f>
        <v>March</v>
      </c>
      <c r="G185" s="23">
        <f>IFERROR(__xludf.DUMMYFUNCTION("""COMPUTED_VALUE"""),8.0)</f>
        <v>8</v>
      </c>
      <c r="H185" s="23" t="str">
        <f>IFERROR(__xludf.DUMMYFUNCTION("""COMPUTED_VALUE"""),"ABC0026")</f>
        <v>ABC0026</v>
      </c>
      <c r="I185" s="23">
        <f t="shared" si="1"/>
        <v>220</v>
      </c>
      <c r="J185" s="23">
        <f>Vlookup(B185,Product_Tab!$A$2:$C$16,3,FALSE)</f>
        <v>545</v>
      </c>
      <c r="K185" s="23">
        <f t="shared" si="2"/>
        <v>119900</v>
      </c>
      <c r="L185" s="24">
        <f>Vlookup(D185,Customer_Tab!$A$2:$C$10,3,FALSE)</f>
        <v>0.18</v>
      </c>
      <c r="M185" s="23">
        <f t="shared" si="3"/>
        <v>21582</v>
      </c>
      <c r="N185" s="25">
        <f t="shared" si="4"/>
        <v>98318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  <c r="E186" s="23">
        <f>IFERROR(__xludf.DUMMYFUNCTION("SPLIT(C186,""_"")"),370.0)</f>
        <v>370</v>
      </c>
      <c r="F186" s="23" t="str">
        <f>IFERROR(__xludf.DUMMYFUNCTION("""COMPUTED_VALUE"""),"March")</f>
        <v>March</v>
      </c>
      <c r="G186" s="23">
        <f>IFERROR(__xludf.DUMMYFUNCTION("""COMPUTED_VALUE"""),11.0)</f>
        <v>11</v>
      </c>
      <c r="H186" s="23" t="str">
        <f>IFERROR(__xludf.DUMMYFUNCTION("""COMPUTED_VALUE"""),"ABC0027")</f>
        <v>ABC0027</v>
      </c>
      <c r="I186" s="23">
        <f t="shared" si="1"/>
        <v>370</v>
      </c>
      <c r="J186" s="23">
        <f>Vlookup(B186,Product_Tab!$A$2:$C$16,3,FALSE)</f>
        <v>545</v>
      </c>
      <c r="K186" s="23">
        <f t="shared" si="2"/>
        <v>201650</v>
      </c>
      <c r="L186" s="24">
        <f>Vlookup(D186,Customer_Tab!$A$2:$C$10,3,FALSE)</f>
        <v>0.1</v>
      </c>
      <c r="M186" s="23">
        <f t="shared" si="3"/>
        <v>20165</v>
      </c>
      <c r="N186" s="25">
        <f t="shared" si="4"/>
        <v>181485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  <c r="E187" s="23">
        <f>IFERROR(__xludf.DUMMYFUNCTION("SPLIT(C187,""_"")"),256.0)</f>
        <v>256</v>
      </c>
      <c r="F187" s="23" t="str">
        <f>IFERROR(__xludf.DUMMYFUNCTION("""COMPUTED_VALUE"""),"March")</f>
        <v>March</v>
      </c>
      <c r="G187" s="23">
        <f>IFERROR(__xludf.DUMMYFUNCTION("""COMPUTED_VALUE"""),10.0)</f>
        <v>10</v>
      </c>
      <c r="H187" s="23" t="str">
        <f>IFERROR(__xludf.DUMMYFUNCTION("""COMPUTED_VALUE"""),"ABC0028")</f>
        <v>ABC0028</v>
      </c>
      <c r="I187" s="23">
        <f t="shared" si="1"/>
        <v>256</v>
      </c>
      <c r="J187" s="23">
        <f>Vlookup(B187,Product_Tab!$A$2:$C$16,3,FALSE)</f>
        <v>545</v>
      </c>
      <c r="K187" s="23">
        <f t="shared" si="2"/>
        <v>139520</v>
      </c>
      <c r="L187" s="24">
        <f>Vlookup(D187,Customer_Tab!$A$2:$C$10,3,FALSE)</f>
        <v>0.1</v>
      </c>
      <c r="M187" s="23">
        <f t="shared" si="3"/>
        <v>13952</v>
      </c>
      <c r="N187" s="25">
        <f t="shared" si="4"/>
        <v>125568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  <c r="E188" s="23">
        <f>IFERROR(__xludf.DUMMYFUNCTION("SPLIT(C188,""_"")"),243.0)</f>
        <v>243</v>
      </c>
      <c r="F188" s="23" t="str">
        <f>IFERROR(__xludf.DUMMYFUNCTION("""COMPUTED_VALUE"""),"March")</f>
        <v>March</v>
      </c>
      <c r="G188" s="23">
        <f>IFERROR(__xludf.DUMMYFUNCTION("""COMPUTED_VALUE"""),15.0)</f>
        <v>15</v>
      </c>
      <c r="H188" s="23" t="str">
        <f>IFERROR(__xludf.DUMMYFUNCTION("""COMPUTED_VALUE"""),"ABC0029")</f>
        <v>ABC0029</v>
      </c>
      <c r="I188" s="23">
        <f t="shared" si="1"/>
        <v>243</v>
      </c>
      <c r="J188" s="23">
        <f>Vlookup(B188,Product_Tab!$A$2:$C$16,3,FALSE)</f>
        <v>545</v>
      </c>
      <c r="K188" s="23">
        <f t="shared" si="2"/>
        <v>132435</v>
      </c>
      <c r="L188" s="24">
        <f>Vlookup(D188,Customer_Tab!$A$2:$C$10,3,FALSE)</f>
        <v>0.15</v>
      </c>
      <c r="M188" s="23">
        <f t="shared" si="3"/>
        <v>19865.25</v>
      </c>
      <c r="N188" s="25">
        <f t="shared" si="4"/>
        <v>112569.75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  <c r="E189" s="23">
        <f>IFERROR(__xludf.DUMMYFUNCTION("SPLIT(C189,""_"")"),316.0)</f>
        <v>316</v>
      </c>
      <c r="F189" s="23" t="str">
        <f>IFERROR(__xludf.DUMMYFUNCTION("""COMPUTED_VALUE"""),"March")</f>
        <v>March</v>
      </c>
      <c r="G189" s="23">
        <f>IFERROR(__xludf.DUMMYFUNCTION("""COMPUTED_VALUE"""),8.0)</f>
        <v>8</v>
      </c>
      <c r="H189" s="23" t="str">
        <f>IFERROR(__xludf.DUMMYFUNCTION("""COMPUTED_VALUE"""),"ABC0030")</f>
        <v>ABC0030</v>
      </c>
      <c r="I189" s="23">
        <f t="shared" si="1"/>
        <v>316</v>
      </c>
      <c r="J189" s="23">
        <f>Vlookup(B189,Product_Tab!$A$2:$C$16,3,FALSE)</f>
        <v>545</v>
      </c>
      <c r="K189" s="23">
        <f t="shared" si="2"/>
        <v>172220</v>
      </c>
      <c r="L189" s="24">
        <f>Vlookup(D189,Customer_Tab!$A$2:$C$10,3,FALSE)</f>
        <v>0.18</v>
      </c>
      <c r="M189" s="23">
        <f t="shared" si="3"/>
        <v>30999.6</v>
      </c>
      <c r="N189" s="25">
        <f t="shared" si="4"/>
        <v>141220.4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  <c r="E190" s="23">
        <f>IFERROR(__xludf.DUMMYFUNCTION("SPLIT(C190,""_"")"),418.0)</f>
        <v>418</v>
      </c>
      <c r="F190" s="23" t="str">
        <f>IFERROR(__xludf.DUMMYFUNCTION("""COMPUTED_VALUE"""),"March")</f>
        <v>March</v>
      </c>
      <c r="G190" s="23">
        <f>IFERROR(__xludf.DUMMYFUNCTION("""COMPUTED_VALUE"""),11.0)</f>
        <v>11</v>
      </c>
      <c r="H190" s="23" t="str">
        <f>IFERROR(__xludf.DUMMYFUNCTION("""COMPUTED_VALUE"""),"ABC0031")</f>
        <v>ABC0031</v>
      </c>
      <c r="I190" s="23">
        <f t="shared" si="1"/>
        <v>418</v>
      </c>
      <c r="J190" s="23">
        <f>Vlookup(B190,Product_Tab!$A$2:$C$16,3,FALSE)</f>
        <v>545</v>
      </c>
      <c r="K190" s="23">
        <f t="shared" si="2"/>
        <v>227810</v>
      </c>
      <c r="L190" s="24">
        <f>Vlookup(D190,Customer_Tab!$A$2:$C$10,3,FALSE)</f>
        <v>0.1</v>
      </c>
      <c r="M190" s="23">
        <f t="shared" si="3"/>
        <v>22781</v>
      </c>
      <c r="N190" s="25">
        <f t="shared" si="4"/>
        <v>205029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  <c r="E191" s="23">
        <f>IFERROR(__xludf.DUMMYFUNCTION("SPLIT(C191,""_"")"),225.0)</f>
        <v>225</v>
      </c>
      <c r="F191" s="23" t="str">
        <f>IFERROR(__xludf.DUMMYFUNCTION("""COMPUTED_VALUE"""),"March")</f>
        <v>March</v>
      </c>
      <c r="G191" s="23">
        <f>IFERROR(__xludf.DUMMYFUNCTION("""COMPUTED_VALUE"""),23.0)</f>
        <v>23</v>
      </c>
      <c r="H191" s="23" t="str">
        <f>IFERROR(__xludf.DUMMYFUNCTION("""COMPUTED_VALUE"""),"ABC0029")</f>
        <v>ABC0029</v>
      </c>
      <c r="I191" s="23">
        <f t="shared" si="1"/>
        <v>225</v>
      </c>
      <c r="J191" s="23">
        <f>Vlookup(B191,Product_Tab!$A$2:$C$16,3,FALSE)</f>
        <v>545</v>
      </c>
      <c r="K191" s="23">
        <f t="shared" si="2"/>
        <v>122625</v>
      </c>
      <c r="L191" s="24">
        <f>Vlookup(D191,Customer_Tab!$A$2:$C$10,3,FALSE)</f>
        <v>0.15</v>
      </c>
      <c r="M191" s="23">
        <f t="shared" si="3"/>
        <v>18393.75</v>
      </c>
      <c r="N191" s="25">
        <f t="shared" si="4"/>
        <v>104231.25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  <c r="E192" s="23">
        <f>IFERROR(__xludf.DUMMYFUNCTION("SPLIT(C192,""_"")"),222.0)</f>
        <v>222</v>
      </c>
      <c r="F192" s="23" t="str">
        <f>IFERROR(__xludf.DUMMYFUNCTION("""COMPUTED_VALUE"""),"March")</f>
        <v>March</v>
      </c>
      <c r="G192" s="23">
        <f>IFERROR(__xludf.DUMMYFUNCTION("""COMPUTED_VALUE"""),20.0)</f>
        <v>20</v>
      </c>
      <c r="H192" s="23" t="str">
        <f>IFERROR(__xludf.DUMMYFUNCTION("""COMPUTED_VALUE"""),"ABC0030")</f>
        <v>ABC0030</v>
      </c>
      <c r="I192" s="23">
        <f t="shared" si="1"/>
        <v>222</v>
      </c>
      <c r="J192" s="23">
        <f>Vlookup(B192,Product_Tab!$A$2:$C$16,3,FALSE)</f>
        <v>545</v>
      </c>
      <c r="K192" s="23">
        <f t="shared" si="2"/>
        <v>120990</v>
      </c>
      <c r="L192" s="24">
        <f>Vlookup(D192,Customer_Tab!$A$2:$C$10,3,FALSE)</f>
        <v>0.15</v>
      </c>
      <c r="M192" s="23">
        <f t="shared" si="3"/>
        <v>18148.5</v>
      </c>
      <c r="N192" s="25">
        <f t="shared" si="4"/>
        <v>102841.5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  <c r="E193" s="23">
        <f>IFERROR(__xludf.DUMMYFUNCTION("SPLIT(C193,""_"")"),382.0)</f>
        <v>382</v>
      </c>
      <c r="F193" s="23" t="str">
        <f>IFERROR(__xludf.DUMMYFUNCTION("""COMPUTED_VALUE"""),"March")</f>
        <v>March</v>
      </c>
      <c r="G193" s="23">
        <f>IFERROR(__xludf.DUMMYFUNCTION("""COMPUTED_VALUE"""),17.0)</f>
        <v>17</v>
      </c>
      <c r="H193" s="23" t="str">
        <f>IFERROR(__xludf.DUMMYFUNCTION("""COMPUTED_VALUE"""),"ABC0031")</f>
        <v>ABC0031</v>
      </c>
      <c r="I193" s="23">
        <f t="shared" si="1"/>
        <v>382</v>
      </c>
      <c r="J193" s="23">
        <f>Vlookup(B193,Product_Tab!$A$2:$C$16,3,FALSE)</f>
        <v>545</v>
      </c>
      <c r="K193" s="23">
        <f t="shared" si="2"/>
        <v>208190</v>
      </c>
      <c r="L193" s="24">
        <f>Vlookup(D193,Customer_Tab!$A$2:$C$10,3,FALSE)</f>
        <v>0.18</v>
      </c>
      <c r="M193" s="23">
        <f t="shared" si="3"/>
        <v>37474.2</v>
      </c>
      <c r="N193" s="25">
        <f t="shared" si="4"/>
        <v>170715.8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  <c r="E194" s="23">
        <f>IFERROR(__xludf.DUMMYFUNCTION("SPLIT(C194,""_"")"),202.0)</f>
        <v>202</v>
      </c>
      <c r="F194" s="23" t="str">
        <f>IFERROR(__xludf.DUMMYFUNCTION("""COMPUTED_VALUE"""),"March")</f>
        <v>March</v>
      </c>
      <c r="G194" s="23">
        <f>IFERROR(__xludf.DUMMYFUNCTION("""COMPUTED_VALUE"""),19.0)</f>
        <v>19</v>
      </c>
      <c r="H194" s="23" t="str">
        <f>IFERROR(__xludf.DUMMYFUNCTION("""COMPUTED_VALUE"""),"ABC0027")</f>
        <v>ABC0027</v>
      </c>
      <c r="I194" s="23">
        <f t="shared" si="1"/>
        <v>202</v>
      </c>
      <c r="J194" s="23">
        <f>Vlookup(B194,Product_Tab!$A$2:$C$16,3,FALSE)</f>
        <v>545</v>
      </c>
      <c r="K194" s="23">
        <f t="shared" si="2"/>
        <v>110090</v>
      </c>
      <c r="L194" s="24">
        <f>Vlookup(D194,Customer_Tab!$A$2:$C$10,3,FALSE)</f>
        <v>0.18</v>
      </c>
      <c r="M194" s="23">
        <f t="shared" si="3"/>
        <v>19816.2</v>
      </c>
      <c r="N194" s="25">
        <f t="shared" si="4"/>
        <v>90273.8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  <c r="E195" s="23">
        <f>IFERROR(__xludf.DUMMYFUNCTION("SPLIT(C195,""_"")"),420.0)</f>
        <v>420</v>
      </c>
      <c r="F195" s="23" t="str">
        <f>IFERROR(__xludf.DUMMYFUNCTION("""COMPUTED_VALUE"""),"March")</f>
        <v>March</v>
      </c>
      <c r="G195" s="23">
        <f>IFERROR(__xludf.DUMMYFUNCTION("""COMPUTED_VALUE"""),14.0)</f>
        <v>14</v>
      </c>
      <c r="H195" s="23" t="str">
        <f>IFERROR(__xludf.DUMMYFUNCTION("""COMPUTED_VALUE"""),"ABC0026")</f>
        <v>ABC0026</v>
      </c>
      <c r="I195" s="23">
        <f t="shared" si="1"/>
        <v>420</v>
      </c>
      <c r="J195" s="23">
        <f>Vlookup(B195,Product_Tab!$A$2:$C$16,3,FALSE)</f>
        <v>545</v>
      </c>
      <c r="K195" s="23">
        <f t="shared" si="2"/>
        <v>228900</v>
      </c>
      <c r="L195" s="24">
        <f>Vlookup(D195,Customer_Tab!$A$2:$C$10,3,FALSE)</f>
        <v>0.1</v>
      </c>
      <c r="M195" s="23">
        <f t="shared" si="3"/>
        <v>22890</v>
      </c>
      <c r="N195" s="25">
        <f t="shared" si="4"/>
        <v>206010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  <c r="E196" s="23">
        <f>IFERROR(__xludf.DUMMYFUNCTION("SPLIT(C196,""_"")"),489.0)</f>
        <v>489</v>
      </c>
      <c r="F196" s="23" t="str">
        <f>IFERROR(__xludf.DUMMYFUNCTION("""COMPUTED_VALUE"""),"March")</f>
        <v>March</v>
      </c>
      <c r="G196" s="23">
        <f>IFERROR(__xludf.DUMMYFUNCTION("""COMPUTED_VALUE"""),27.0)</f>
        <v>27</v>
      </c>
      <c r="H196" s="23" t="str">
        <f>IFERROR(__xludf.DUMMYFUNCTION("""COMPUTED_VALUE"""),"ABC0023")</f>
        <v>ABC0023</v>
      </c>
      <c r="I196" s="23">
        <f t="shared" si="1"/>
        <v>489</v>
      </c>
      <c r="J196" s="23">
        <f>Vlookup(B196,Product_Tab!$A$2:$C$16,3,FALSE)</f>
        <v>545</v>
      </c>
      <c r="K196" s="23">
        <f t="shared" si="2"/>
        <v>266505</v>
      </c>
      <c r="L196" s="24">
        <f>Vlookup(D196,Customer_Tab!$A$2:$C$10,3,FALSE)</f>
        <v>0.15</v>
      </c>
      <c r="M196" s="23">
        <f t="shared" si="3"/>
        <v>39975.75</v>
      </c>
      <c r="N196" s="25">
        <f t="shared" si="4"/>
        <v>226529.25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  <c r="E197" s="23">
        <f>IFERROR(__xludf.DUMMYFUNCTION("SPLIT(C197,""_"")"),237.0)</f>
        <v>237</v>
      </c>
      <c r="F197" s="23" t="str">
        <f>IFERROR(__xludf.DUMMYFUNCTION("""COMPUTED_VALUE"""),"March")</f>
        <v>March</v>
      </c>
      <c r="G197" s="23">
        <f>IFERROR(__xludf.DUMMYFUNCTION("""COMPUTED_VALUE"""),4.0)</f>
        <v>4</v>
      </c>
      <c r="H197" s="23" t="str">
        <f>IFERROR(__xludf.DUMMYFUNCTION("""COMPUTED_VALUE"""),"ABC0023")</f>
        <v>ABC0023</v>
      </c>
      <c r="I197" s="23">
        <f t="shared" si="1"/>
        <v>237</v>
      </c>
      <c r="J197" s="23">
        <f>Vlookup(B197,Product_Tab!$A$2:$C$16,3,FALSE)</f>
        <v>203</v>
      </c>
      <c r="K197" s="23">
        <f t="shared" si="2"/>
        <v>48111</v>
      </c>
      <c r="L197" s="24">
        <f>Vlookup(D197,Customer_Tab!$A$2:$C$10,3,FALSE)</f>
        <v>0.15</v>
      </c>
      <c r="M197" s="23">
        <f t="shared" si="3"/>
        <v>7216.65</v>
      </c>
      <c r="N197" s="25">
        <f t="shared" si="4"/>
        <v>40894.35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  <c r="E198" s="23">
        <f>IFERROR(__xludf.DUMMYFUNCTION("SPLIT(C198,""_"")"),440.0)</f>
        <v>440</v>
      </c>
      <c r="F198" s="23" t="str">
        <f>IFERROR(__xludf.DUMMYFUNCTION("""COMPUTED_VALUE"""),"March")</f>
        <v>March</v>
      </c>
      <c r="G198" s="23">
        <f>IFERROR(__xludf.DUMMYFUNCTION("""COMPUTED_VALUE"""),22.0)</f>
        <v>22</v>
      </c>
      <c r="H198" s="23" t="str">
        <f>IFERROR(__xludf.DUMMYFUNCTION("""COMPUTED_VALUE"""),"ABC0023")</f>
        <v>ABC0023</v>
      </c>
      <c r="I198" s="23">
        <f t="shared" si="1"/>
        <v>440</v>
      </c>
      <c r="J198" s="23">
        <f>Vlookup(B198,Product_Tab!$A$2:$C$16,3,FALSE)</f>
        <v>131</v>
      </c>
      <c r="K198" s="23">
        <f t="shared" si="2"/>
        <v>57640</v>
      </c>
      <c r="L198" s="24">
        <f>Vlookup(D198,Customer_Tab!$A$2:$C$10,3,FALSE)</f>
        <v>0.18</v>
      </c>
      <c r="M198" s="23">
        <f t="shared" si="3"/>
        <v>10375.2</v>
      </c>
      <c r="N198" s="25">
        <f t="shared" si="4"/>
        <v>47264.8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  <c r="E199" s="23">
        <f>IFERROR(__xludf.DUMMYFUNCTION("SPLIT(C199,""_"")"),498.0)</f>
        <v>498</v>
      </c>
      <c r="F199" s="23" t="str">
        <f>IFERROR(__xludf.DUMMYFUNCTION("""COMPUTED_VALUE"""),"March")</f>
        <v>March</v>
      </c>
      <c r="G199" s="23">
        <f>IFERROR(__xludf.DUMMYFUNCTION("""COMPUTED_VALUE"""),30.0)</f>
        <v>30</v>
      </c>
      <c r="H199" s="23" t="str">
        <f>IFERROR(__xludf.DUMMYFUNCTION("""COMPUTED_VALUE"""),"ABC0023")</f>
        <v>ABC0023</v>
      </c>
      <c r="I199" s="23">
        <f t="shared" si="1"/>
        <v>498</v>
      </c>
      <c r="J199" s="23">
        <f>Vlookup(B199,Product_Tab!$A$2:$C$16,3,FALSE)</f>
        <v>50</v>
      </c>
      <c r="K199" s="23">
        <f t="shared" si="2"/>
        <v>24900</v>
      </c>
      <c r="L199" s="24">
        <f>Vlookup(D199,Customer_Tab!$A$2:$C$10,3,FALSE)</f>
        <v>0.18</v>
      </c>
      <c r="M199" s="23">
        <f t="shared" si="3"/>
        <v>4482</v>
      </c>
      <c r="N199" s="25">
        <f t="shared" si="4"/>
        <v>20418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  <c r="E200" s="23">
        <f>IFERROR(__xludf.DUMMYFUNCTION("SPLIT(C200,""_"")"),419.0)</f>
        <v>419</v>
      </c>
      <c r="F200" s="23" t="str">
        <f>IFERROR(__xludf.DUMMYFUNCTION("""COMPUTED_VALUE"""),"March")</f>
        <v>March</v>
      </c>
      <c r="G200" s="23">
        <f>IFERROR(__xludf.DUMMYFUNCTION("""COMPUTED_VALUE"""),9.0)</f>
        <v>9</v>
      </c>
      <c r="H200" s="23" t="str">
        <f>IFERROR(__xludf.DUMMYFUNCTION("""COMPUTED_VALUE"""),"ABC0023")</f>
        <v>ABC0023</v>
      </c>
      <c r="I200" s="23">
        <f t="shared" si="1"/>
        <v>419</v>
      </c>
      <c r="J200" s="23">
        <f>Vlookup(B200,Product_Tab!$A$2:$C$16,3,FALSE)</f>
        <v>76</v>
      </c>
      <c r="K200" s="23">
        <f t="shared" si="2"/>
        <v>31844</v>
      </c>
      <c r="L200" s="24">
        <f>Vlookup(D200,Customer_Tab!$A$2:$C$10,3,FALSE)</f>
        <v>0.1</v>
      </c>
      <c r="M200" s="23">
        <f t="shared" si="3"/>
        <v>3184.4</v>
      </c>
      <c r="N200" s="25">
        <f t="shared" si="4"/>
        <v>28659.6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  <c r="E201" s="23">
        <f>IFERROR(__xludf.DUMMYFUNCTION("SPLIT(C201,""_"")"),405.0)</f>
        <v>405</v>
      </c>
      <c r="F201" s="23" t="str">
        <f>IFERROR(__xludf.DUMMYFUNCTION("""COMPUTED_VALUE"""),"March")</f>
        <v>March</v>
      </c>
      <c r="G201" s="23">
        <f>IFERROR(__xludf.DUMMYFUNCTION("""COMPUTED_VALUE"""),22.0)</f>
        <v>22</v>
      </c>
      <c r="H201" s="23" t="str">
        <f>IFERROR(__xludf.DUMMYFUNCTION("""COMPUTED_VALUE"""),"ABC0023")</f>
        <v>ABC0023</v>
      </c>
      <c r="I201" s="23">
        <f t="shared" si="1"/>
        <v>405</v>
      </c>
      <c r="J201" s="23">
        <f>Vlookup(B201,Product_Tab!$A$2:$C$16,3,FALSE)</f>
        <v>659</v>
      </c>
      <c r="K201" s="23">
        <f t="shared" si="2"/>
        <v>266895</v>
      </c>
      <c r="L201" s="24">
        <f>Vlookup(D201,Customer_Tab!$A$2:$C$10,3,FALSE)</f>
        <v>0.1</v>
      </c>
      <c r="M201" s="23">
        <f t="shared" si="3"/>
        <v>26689.5</v>
      </c>
      <c r="N201" s="25">
        <f t="shared" si="4"/>
        <v>240205.5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  <c r="E202" s="23">
        <f>IFERROR(__xludf.DUMMYFUNCTION("SPLIT(C202,""_"")"),462.0)</f>
        <v>462</v>
      </c>
      <c r="F202" s="23" t="str">
        <f>IFERROR(__xludf.DUMMYFUNCTION("""COMPUTED_VALUE"""),"March")</f>
        <v>March</v>
      </c>
      <c r="G202" s="23">
        <f>IFERROR(__xludf.DUMMYFUNCTION("""COMPUTED_VALUE"""),17.0)</f>
        <v>17</v>
      </c>
      <c r="H202" s="23" t="str">
        <f>IFERROR(__xludf.DUMMYFUNCTION("""COMPUTED_VALUE"""),"ABC0023")</f>
        <v>ABC0023</v>
      </c>
      <c r="I202" s="23">
        <f t="shared" si="1"/>
        <v>462</v>
      </c>
      <c r="J202" s="23">
        <f>Vlookup(B202,Product_Tab!$A$2:$C$16,3,FALSE)</f>
        <v>286</v>
      </c>
      <c r="K202" s="23">
        <f t="shared" si="2"/>
        <v>132132</v>
      </c>
      <c r="L202" s="24">
        <f>Vlookup(D202,Customer_Tab!$A$2:$C$10,3,FALSE)</f>
        <v>0.15</v>
      </c>
      <c r="M202" s="23">
        <f t="shared" si="3"/>
        <v>19819.8</v>
      </c>
      <c r="N202" s="25">
        <f t="shared" si="4"/>
        <v>112312.2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  <c r="E203" s="23">
        <f>IFERROR(__xludf.DUMMYFUNCTION("SPLIT(C203,""_"")"),274.0)</f>
        <v>274</v>
      </c>
      <c r="F203" s="23" t="str">
        <f>IFERROR(__xludf.DUMMYFUNCTION("""COMPUTED_VALUE"""),"March")</f>
        <v>March</v>
      </c>
      <c r="G203" s="23">
        <f>IFERROR(__xludf.DUMMYFUNCTION("""COMPUTED_VALUE"""),26.0)</f>
        <v>26</v>
      </c>
      <c r="H203" s="23" t="str">
        <f>IFERROR(__xludf.DUMMYFUNCTION("""COMPUTED_VALUE"""),"ABC0023")</f>
        <v>ABC0023</v>
      </c>
      <c r="I203" s="23">
        <f t="shared" si="1"/>
        <v>274</v>
      </c>
      <c r="J203" s="23">
        <f>Vlookup(B203,Product_Tab!$A$2:$C$16,3,FALSE)</f>
        <v>223</v>
      </c>
      <c r="K203" s="23">
        <f t="shared" si="2"/>
        <v>61102</v>
      </c>
      <c r="L203" s="24">
        <f>Vlookup(D203,Customer_Tab!$A$2:$C$10,3,FALSE)</f>
        <v>0.18</v>
      </c>
      <c r="M203" s="23">
        <f t="shared" si="3"/>
        <v>10998.36</v>
      </c>
      <c r="N203" s="25">
        <f t="shared" si="4"/>
        <v>50103.64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  <c r="E204" s="23">
        <f>IFERROR(__xludf.DUMMYFUNCTION("SPLIT(C204,""_"")"),260.0)</f>
        <v>260</v>
      </c>
      <c r="F204" s="23" t="str">
        <f>IFERROR(__xludf.DUMMYFUNCTION("""COMPUTED_VALUE"""),"March")</f>
        <v>March</v>
      </c>
      <c r="G204" s="23">
        <f>IFERROR(__xludf.DUMMYFUNCTION("""COMPUTED_VALUE"""),3.0)</f>
        <v>3</v>
      </c>
      <c r="H204" s="23" t="str">
        <f>IFERROR(__xludf.DUMMYFUNCTION("""COMPUTED_VALUE"""),"ABC0023")</f>
        <v>ABC0023</v>
      </c>
      <c r="I204" s="23">
        <f t="shared" si="1"/>
        <v>260</v>
      </c>
      <c r="J204" s="23">
        <f>Vlookup(B204,Product_Tab!$A$2:$C$16,3,FALSE)</f>
        <v>721</v>
      </c>
      <c r="K204" s="23">
        <f t="shared" si="2"/>
        <v>187460</v>
      </c>
      <c r="L204" s="24">
        <f>Vlookup(D204,Customer_Tab!$A$2:$C$10,3,FALSE)</f>
        <v>0.1</v>
      </c>
      <c r="M204" s="23">
        <f t="shared" si="3"/>
        <v>18746</v>
      </c>
      <c r="N204" s="25">
        <f t="shared" si="4"/>
        <v>168714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  <c r="E205" s="23">
        <f>IFERROR(__xludf.DUMMYFUNCTION("SPLIT(C205,""_"")"),358.0)</f>
        <v>358</v>
      </c>
      <c r="F205" s="23" t="str">
        <f>IFERROR(__xludf.DUMMYFUNCTION("""COMPUTED_VALUE"""),"March")</f>
        <v>March</v>
      </c>
      <c r="G205" s="23">
        <f>IFERROR(__xludf.DUMMYFUNCTION("""COMPUTED_VALUE"""),27.0)</f>
        <v>27</v>
      </c>
      <c r="H205" s="23" t="str">
        <f>IFERROR(__xludf.DUMMYFUNCTION("""COMPUTED_VALUE"""),"ABC0023")</f>
        <v>ABC0023</v>
      </c>
      <c r="I205" s="23">
        <f t="shared" si="1"/>
        <v>358</v>
      </c>
      <c r="J205" s="23">
        <f>Vlookup(B205,Product_Tab!$A$2:$C$16,3,FALSE)</f>
        <v>273</v>
      </c>
      <c r="K205" s="23">
        <f t="shared" si="2"/>
        <v>97734</v>
      </c>
      <c r="L205" s="24">
        <f>Vlookup(D205,Customer_Tab!$A$2:$C$10,3,FALSE)</f>
        <v>0.15</v>
      </c>
      <c r="M205" s="23">
        <f t="shared" si="3"/>
        <v>14660.1</v>
      </c>
      <c r="N205" s="25">
        <f t="shared" si="4"/>
        <v>83073.9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  <c r="E206" s="23">
        <f>IFERROR(__xludf.DUMMYFUNCTION("SPLIT(C206,""_"")"),441.0)</f>
        <v>441</v>
      </c>
      <c r="F206" s="23" t="str">
        <f>IFERROR(__xludf.DUMMYFUNCTION("""COMPUTED_VALUE"""),"March")</f>
        <v>March</v>
      </c>
      <c r="G206" s="23">
        <f>IFERROR(__xludf.DUMMYFUNCTION("""COMPUTED_VALUE"""),10.0)</f>
        <v>10</v>
      </c>
      <c r="H206" s="23" t="str">
        <f>IFERROR(__xludf.DUMMYFUNCTION("""COMPUTED_VALUE"""),"ABC0023")</f>
        <v>ABC0023</v>
      </c>
      <c r="I206" s="23">
        <f t="shared" si="1"/>
        <v>441</v>
      </c>
      <c r="J206" s="23">
        <f>Vlookup(B206,Product_Tab!$A$2:$C$16,3,FALSE)</f>
        <v>151</v>
      </c>
      <c r="K206" s="23">
        <f t="shared" si="2"/>
        <v>66591</v>
      </c>
      <c r="L206" s="24">
        <f>Vlookup(D206,Customer_Tab!$A$2:$C$10,3,FALSE)</f>
        <v>0.15</v>
      </c>
      <c r="M206" s="23">
        <f t="shared" si="3"/>
        <v>9988.65</v>
      </c>
      <c r="N206" s="25">
        <f t="shared" si="4"/>
        <v>56602.35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  <c r="E207" s="23">
        <f>IFERROR(__xludf.DUMMYFUNCTION("SPLIT(C207,""_"")"),271.0)</f>
        <v>271</v>
      </c>
      <c r="F207" s="23" t="str">
        <f>IFERROR(__xludf.DUMMYFUNCTION("""COMPUTED_VALUE"""),"March")</f>
        <v>March</v>
      </c>
      <c r="G207" s="23">
        <f>IFERROR(__xludf.DUMMYFUNCTION("""COMPUTED_VALUE"""),5.0)</f>
        <v>5</v>
      </c>
      <c r="H207" s="23" t="str">
        <f>IFERROR(__xludf.DUMMYFUNCTION("""COMPUTED_VALUE"""),"ABC0023")</f>
        <v>ABC0023</v>
      </c>
      <c r="I207" s="23">
        <f t="shared" si="1"/>
        <v>271</v>
      </c>
      <c r="J207" s="23">
        <f>Vlookup(B207,Product_Tab!$A$2:$C$16,3,FALSE)</f>
        <v>421</v>
      </c>
      <c r="K207" s="23">
        <f t="shared" si="2"/>
        <v>114091</v>
      </c>
      <c r="L207" s="24">
        <f>Vlookup(D207,Customer_Tab!$A$2:$C$10,3,FALSE)</f>
        <v>0.18</v>
      </c>
      <c r="M207" s="23">
        <f t="shared" si="3"/>
        <v>20536.38</v>
      </c>
      <c r="N207" s="25">
        <f t="shared" si="4"/>
        <v>93554.62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  <c r="E208" s="23">
        <f>IFERROR(__xludf.DUMMYFUNCTION("SPLIT(C208,""_"")"),394.0)</f>
        <v>394</v>
      </c>
      <c r="F208" s="23" t="str">
        <f>IFERROR(__xludf.DUMMYFUNCTION("""COMPUTED_VALUE"""),"March")</f>
        <v>March</v>
      </c>
      <c r="G208" s="23">
        <f>IFERROR(__xludf.DUMMYFUNCTION("""COMPUTED_VALUE"""),17.0)</f>
        <v>17</v>
      </c>
      <c r="H208" s="23" t="str">
        <f>IFERROR(__xludf.DUMMYFUNCTION("""COMPUTED_VALUE"""),"ABC0023")</f>
        <v>ABC0023</v>
      </c>
      <c r="I208" s="23">
        <f t="shared" si="1"/>
        <v>394</v>
      </c>
      <c r="J208" s="23">
        <f>Vlookup(B208,Product_Tab!$A$2:$C$16,3,FALSE)</f>
        <v>795</v>
      </c>
      <c r="K208" s="23">
        <f t="shared" si="2"/>
        <v>313230</v>
      </c>
      <c r="L208" s="24">
        <f>Vlookup(D208,Customer_Tab!$A$2:$C$10,3,FALSE)</f>
        <v>0.18</v>
      </c>
      <c r="M208" s="23">
        <f t="shared" si="3"/>
        <v>56381.4</v>
      </c>
      <c r="N208" s="25">
        <f t="shared" si="4"/>
        <v>256848.6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  <c r="E209" s="23">
        <f>IFERROR(__xludf.DUMMYFUNCTION("SPLIT(C209,""_"")"),306.0)</f>
        <v>306</v>
      </c>
      <c r="F209" s="23" t="str">
        <f>IFERROR(__xludf.DUMMYFUNCTION("""COMPUTED_VALUE"""),"March")</f>
        <v>March</v>
      </c>
      <c r="G209" s="23">
        <f>IFERROR(__xludf.DUMMYFUNCTION("""COMPUTED_VALUE"""),8.0)</f>
        <v>8</v>
      </c>
      <c r="H209" s="23" t="str">
        <f>IFERROR(__xludf.DUMMYFUNCTION("""COMPUTED_VALUE"""),"ABC0023")</f>
        <v>ABC0023</v>
      </c>
      <c r="I209" s="23">
        <f t="shared" si="1"/>
        <v>306</v>
      </c>
      <c r="J209" s="23">
        <f>Vlookup(B209,Product_Tab!$A$2:$C$16,3,FALSE)</f>
        <v>652</v>
      </c>
      <c r="K209" s="23">
        <f t="shared" si="2"/>
        <v>199512</v>
      </c>
      <c r="L209" s="24">
        <f>Vlookup(D209,Customer_Tab!$A$2:$C$10,3,FALSE)</f>
        <v>0.1</v>
      </c>
      <c r="M209" s="23">
        <f t="shared" si="3"/>
        <v>19951.2</v>
      </c>
      <c r="N209" s="25">
        <f t="shared" si="4"/>
        <v>179560.8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  <c r="E210" s="23">
        <f>IFERROR(__xludf.DUMMYFUNCTION("SPLIT(C210,""_"")"),317.0)</f>
        <v>317</v>
      </c>
      <c r="F210" s="23" t="str">
        <f>IFERROR(__xludf.DUMMYFUNCTION("""COMPUTED_VALUE"""),"March")</f>
        <v>March</v>
      </c>
      <c r="G210" s="23">
        <f>IFERROR(__xludf.DUMMYFUNCTION("""COMPUTED_VALUE"""),19.0)</f>
        <v>19</v>
      </c>
      <c r="H210" s="23" t="str">
        <f>IFERROR(__xludf.DUMMYFUNCTION("""COMPUTED_VALUE"""),"ABC0023")</f>
        <v>ABC0023</v>
      </c>
      <c r="I210" s="23">
        <f t="shared" si="1"/>
        <v>317</v>
      </c>
      <c r="J210" s="23">
        <f>Vlookup(B210,Product_Tab!$A$2:$C$16,3,FALSE)</f>
        <v>378</v>
      </c>
      <c r="K210" s="23">
        <f t="shared" si="2"/>
        <v>119826</v>
      </c>
      <c r="L210" s="24">
        <f>Vlookup(D210,Customer_Tab!$A$2:$C$10,3,FALSE)</f>
        <v>0.1</v>
      </c>
      <c r="M210" s="23">
        <f t="shared" si="3"/>
        <v>11982.6</v>
      </c>
      <c r="N210" s="25">
        <f t="shared" si="4"/>
        <v>107843.4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  <c r="E211" s="23">
        <f>IFERROR(__xludf.DUMMYFUNCTION("SPLIT(C211,""_"")"),444.0)</f>
        <v>444</v>
      </c>
      <c r="F211" s="23" t="str">
        <f>IFERROR(__xludf.DUMMYFUNCTION("""COMPUTED_VALUE"""),"March")</f>
        <v>March</v>
      </c>
      <c r="G211" s="23">
        <f>IFERROR(__xludf.DUMMYFUNCTION("""COMPUTED_VALUE"""),26.0)</f>
        <v>26</v>
      </c>
      <c r="H211" s="23" t="str">
        <f>IFERROR(__xludf.DUMMYFUNCTION("""COMPUTED_VALUE"""),"ABC0023")</f>
        <v>ABC0023</v>
      </c>
      <c r="I211" s="23">
        <f t="shared" si="1"/>
        <v>444</v>
      </c>
      <c r="J211" s="23">
        <f>Vlookup(B211,Product_Tab!$A$2:$C$16,3,FALSE)</f>
        <v>545</v>
      </c>
      <c r="K211" s="23">
        <f t="shared" si="2"/>
        <v>241980</v>
      </c>
      <c r="L211" s="24">
        <f>Vlookup(D211,Customer_Tab!$A$2:$C$10,3,FALSE)</f>
        <v>0.15</v>
      </c>
      <c r="M211" s="23">
        <f t="shared" si="3"/>
        <v>36297</v>
      </c>
      <c r="N211" s="25">
        <f t="shared" si="4"/>
        <v>205683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  <c r="E212" s="23">
        <f>IFERROR(__xludf.DUMMYFUNCTION("SPLIT(C212,""_"")"),235.0)</f>
        <v>235</v>
      </c>
      <c r="F212" s="23" t="str">
        <f>IFERROR(__xludf.DUMMYFUNCTION("""COMPUTED_VALUE"""),"March")</f>
        <v>March</v>
      </c>
      <c r="G212" s="23">
        <f>IFERROR(__xludf.DUMMYFUNCTION("""COMPUTED_VALUE"""),11.0)</f>
        <v>11</v>
      </c>
      <c r="H212" s="23" t="str">
        <f>IFERROR(__xludf.DUMMYFUNCTION("""COMPUTED_VALUE"""),"ABC0023")</f>
        <v>ABC0023</v>
      </c>
      <c r="I212" s="23">
        <f t="shared" si="1"/>
        <v>235</v>
      </c>
      <c r="J212" s="23">
        <f>Vlookup(B212,Product_Tab!$A$2:$C$16,3,FALSE)</f>
        <v>203</v>
      </c>
      <c r="K212" s="23">
        <f t="shared" si="2"/>
        <v>47705</v>
      </c>
      <c r="L212" s="24">
        <f>Vlookup(D212,Customer_Tab!$A$2:$C$10,3,FALSE)</f>
        <v>0.18</v>
      </c>
      <c r="M212" s="23">
        <f t="shared" si="3"/>
        <v>8586.9</v>
      </c>
      <c r="N212" s="25">
        <f t="shared" si="4"/>
        <v>39118.1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  <c r="E213" s="23">
        <f>IFERROR(__xludf.DUMMYFUNCTION("SPLIT(C213,""_"")"),469.0)</f>
        <v>469</v>
      </c>
      <c r="F213" s="23" t="str">
        <f>IFERROR(__xludf.DUMMYFUNCTION("""COMPUTED_VALUE"""),"March")</f>
        <v>March</v>
      </c>
      <c r="G213" s="23">
        <f>IFERROR(__xludf.DUMMYFUNCTION("""COMPUTED_VALUE"""),3.0)</f>
        <v>3</v>
      </c>
      <c r="H213" s="23" t="str">
        <f>IFERROR(__xludf.DUMMYFUNCTION("""COMPUTED_VALUE"""),"ABC0023")</f>
        <v>ABC0023</v>
      </c>
      <c r="I213" s="23">
        <f t="shared" si="1"/>
        <v>469</v>
      </c>
      <c r="J213" s="23">
        <f>Vlookup(B213,Product_Tab!$A$2:$C$16,3,FALSE)</f>
        <v>131</v>
      </c>
      <c r="K213" s="23">
        <f t="shared" si="2"/>
        <v>61439</v>
      </c>
      <c r="L213" s="24">
        <f>Vlookup(D213,Customer_Tab!$A$2:$C$10,3,FALSE)</f>
        <v>0.1</v>
      </c>
      <c r="M213" s="23">
        <f t="shared" si="3"/>
        <v>6143.9</v>
      </c>
      <c r="N213" s="25">
        <f t="shared" si="4"/>
        <v>55295.1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  <c r="E214" s="23">
        <f>IFERROR(__xludf.DUMMYFUNCTION("SPLIT(C214,""_"")"),222.0)</f>
        <v>222</v>
      </c>
      <c r="F214" s="23" t="str">
        <f>IFERROR(__xludf.DUMMYFUNCTION("""COMPUTED_VALUE"""),"March")</f>
        <v>March</v>
      </c>
      <c r="G214" s="23">
        <f>IFERROR(__xludf.DUMMYFUNCTION("""COMPUTED_VALUE"""),11.0)</f>
        <v>11</v>
      </c>
      <c r="H214" s="23" t="str">
        <f>IFERROR(__xludf.DUMMYFUNCTION("""COMPUTED_VALUE"""),"ABC0023")</f>
        <v>ABC0023</v>
      </c>
      <c r="I214" s="23">
        <f t="shared" si="1"/>
        <v>222</v>
      </c>
      <c r="J214" s="23">
        <f>Vlookup(B214,Product_Tab!$A$2:$C$16,3,FALSE)</f>
        <v>50</v>
      </c>
      <c r="K214" s="23">
        <f t="shared" si="2"/>
        <v>11100</v>
      </c>
      <c r="L214" s="24">
        <f>Vlookup(D214,Customer_Tab!$A$2:$C$10,3,FALSE)</f>
        <v>0.15</v>
      </c>
      <c r="M214" s="23">
        <f t="shared" si="3"/>
        <v>1665</v>
      </c>
      <c r="N214" s="25">
        <f t="shared" si="4"/>
        <v>9435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  <c r="E215" s="23">
        <f>IFERROR(__xludf.DUMMYFUNCTION("SPLIT(C215,""_"")"),353.0)</f>
        <v>353</v>
      </c>
      <c r="F215" s="23" t="str">
        <f>IFERROR(__xludf.DUMMYFUNCTION("""COMPUTED_VALUE"""),"March")</f>
        <v>March</v>
      </c>
      <c r="G215" s="23">
        <f>IFERROR(__xludf.DUMMYFUNCTION("""COMPUTED_VALUE"""),2.0)</f>
        <v>2</v>
      </c>
      <c r="H215" s="23" t="str">
        <f>IFERROR(__xludf.DUMMYFUNCTION("""COMPUTED_VALUE"""),"ABC0023")</f>
        <v>ABC0023</v>
      </c>
      <c r="I215" s="23">
        <f t="shared" si="1"/>
        <v>353</v>
      </c>
      <c r="J215" s="23">
        <f>Vlookup(B215,Product_Tab!$A$2:$C$16,3,FALSE)</f>
        <v>76</v>
      </c>
      <c r="K215" s="23">
        <f t="shared" si="2"/>
        <v>26828</v>
      </c>
      <c r="L215" s="24">
        <f>Vlookup(D215,Customer_Tab!$A$2:$C$10,3,FALSE)</f>
        <v>0.15</v>
      </c>
      <c r="M215" s="23">
        <f t="shared" si="3"/>
        <v>4024.2</v>
      </c>
      <c r="N215" s="25">
        <f t="shared" si="4"/>
        <v>22803.8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  <c r="E216" s="23">
        <f>IFERROR(__xludf.DUMMYFUNCTION("SPLIT(C216,""_"")"),243.0)</f>
        <v>243</v>
      </c>
      <c r="F216" s="23" t="str">
        <f>IFERROR(__xludf.DUMMYFUNCTION("""COMPUTED_VALUE"""),"March")</f>
        <v>March</v>
      </c>
      <c r="G216" s="23">
        <f>IFERROR(__xludf.DUMMYFUNCTION("""COMPUTED_VALUE"""),5.0)</f>
        <v>5</v>
      </c>
      <c r="H216" s="23" t="str">
        <f>IFERROR(__xludf.DUMMYFUNCTION("""COMPUTED_VALUE"""),"ABC0023")</f>
        <v>ABC0023</v>
      </c>
      <c r="I216" s="23">
        <f t="shared" si="1"/>
        <v>243</v>
      </c>
      <c r="J216" s="23">
        <f>Vlookup(B216,Product_Tab!$A$2:$C$16,3,FALSE)</f>
        <v>659</v>
      </c>
      <c r="K216" s="23">
        <f t="shared" si="2"/>
        <v>160137</v>
      </c>
      <c r="L216" s="24">
        <f>Vlookup(D216,Customer_Tab!$A$2:$C$10,3,FALSE)</f>
        <v>0.18</v>
      </c>
      <c r="M216" s="23">
        <f t="shared" si="3"/>
        <v>28824.66</v>
      </c>
      <c r="N216" s="25">
        <f t="shared" si="4"/>
        <v>131312.34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  <c r="E217" s="23">
        <f>IFERROR(__xludf.DUMMYFUNCTION("SPLIT(C217,""_"")"),452.0)</f>
        <v>452</v>
      </c>
      <c r="F217" s="23" t="str">
        <f>IFERROR(__xludf.DUMMYFUNCTION("""COMPUTED_VALUE"""),"March")</f>
        <v>March</v>
      </c>
      <c r="G217" s="23">
        <f>IFERROR(__xludf.DUMMYFUNCTION("""COMPUTED_VALUE"""),9.0)</f>
        <v>9</v>
      </c>
      <c r="H217" s="23" t="str">
        <f>IFERROR(__xludf.DUMMYFUNCTION("""COMPUTED_VALUE"""),"ABC0023")</f>
        <v>ABC0023</v>
      </c>
      <c r="I217" s="23">
        <f t="shared" si="1"/>
        <v>452</v>
      </c>
      <c r="J217" s="23">
        <f>Vlookup(B217,Product_Tab!$A$2:$C$16,3,FALSE)</f>
        <v>286</v>
      </c>
      <c r="K217" s="23">
        <f t="shared" si="2"/>
        <v>129272</v>
      </c>
      <c r="L217" s="24">
        <f>Vlookup(D217,Customer_Tab!$A$2:$C$10,3,FALSE)</f>
        <v>0.18</v>
      </c>
      <c r="M217" s="23">
        <f t="shared" si="3"/>
        <v>23268.96</v>
      </c>
      <c r="N217" s="25">
        <f t="shared" si="4"/>
        <v>106003.04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  <c r="E218" s="23">
        <f>IFERROR(__xludf.DUMMYFUNCTION("SPLIT(C218,""_"")"),365.0)</f>
        <v>365</v>
      </c>
      <c r="F218" s="23" t="str">
        <f>IFERROR(__xludf.DUMMYFUNCTION("""COMPUTED_VALUE"""),"March")</f>
        <v>March</v>
      </c>
      <c r="G218" s="23">
        <f>IFERROR(__xludf.DUMMYFUNCTION("""COMPUTED_VALUE"""),4.0)</f>
        <v>4</v>
      </c>
      <c r="H218" s="23" t="str">
        <f>IFERROR(__xludf.DUMMYFUNCTION("""COMPUTED_VALUE"""),"ABC0023")</f>
        <v>ABC0023</v>
      </c>
      <c r="I218" s="23">
        <f t="shared" si="1"/>
        <v>365</v>
      </c>
      <c r="J218" s="23">
        <f>Vlookup(B218,Product_Tab!$A$2:$C$16,3,FALSE)</f>
        <v>223</v>
      </c>
      <c r="K218" s="23">
        <f t="shared" si="2"/>
        <v>81395</v>
      </c>
      <c r="L218" s="24">
        <f>Vlookup(D218,Customer_Tab!$A$2:$C$10,3,FALSE)</f>
        <v>0.1</v>
      </c>
      <c r="M218" s="23">
        <f t="shared" si="3"/>
        <v>8139.5</v>
      </c>
      <c r="N218" s="25">
        <f t="shared" si="4"/>
        <v>73255.5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  <c r="E219" s="23">
        <f>IFERROR(__xludf.DUMMYFUNCTION("SPLIT(C219,""_"")"),268.0)</f>
        <v>268</v>
      </c>
      <c r="F219" s="23" t="str">
        <f>IFERROR(__xludf.DUMMYFUNCTION("""COMPUTED_VALUE"""),"March")</f>
        <v>March</v>
      </c>
      <c r="G219" s="23">
        <f>IFERROR(__xludf.DUMMYFUNCTION("""COMPUTED_VALUE"""),1.0)</f>
        <v>1</v>
      </c>
      <c r="H219" s="23" t="str">
        <f>IFERROR(__xludf.DUMMYFUNCTION("""COMPUTED_VALUE"""),"ABC0023")</f>
        <v>ABC0023</v>
      </c>
      <c r="I219" s="23">
        <f t="shared" si="1"/>
        <v>268</v>
      </c>
      <c r="J219" s="23">
        <f>Vlookup(B219,Product_Tab!$A$2:$C$16,3,FALSE)</f>
        <v>721</v>
      </c>
      <c r="K219" s="23">
        <f t="shared" si="2"/>
        <v>193228</v>
      </c>
      <c r="L219" s="24">
        <f>Vlookup(D219,Customer_Tab!$A$2:$C$10,3,FALSE)</f>
        <v>0.1</v>
      </c>
      <c r="M219" s="23">
        <f t="shared" si="3"/>
        <v>19322.8</v>
      </c>
      <c r="N219" s="25">
        <f t="shared" si="4"/>
        <v>173905.2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  <c r="E220" s="23">
        <f>IFERROR(__xludf.DUMMYFUNCTION("SPLIT(C220,""_"")"),428.0)</f>
        <v>428</v>
      </c>
      <c r="F220" s="23" t="str">
        <f>IFERROR(__xludf.DUMMYFUNCTION("""COMPUTED_VALUE"""),"March")</f>
        <v>March</v>
      </c>
      <c r="G220" s="23">
        <f>IFERROR(__xludf.DUMMYFUNCTION("""COMPUTED_VALUE"""),29.0)</f>
        <v>29</v>
      </c>
      <c r="H220" s="23" t="str">
        <f>IFERROR(__xludf.DUMMYFUNCTION("""COMPUTED_VALUE"""),"ABC0023")</f>
        <v>ABC0023</v>
      </c>
      <c r="I220" s="23">
        <f t="shared" si="1"/>
        <v>428</v>
      </c>
      <c r="J220" s="23">
        <f>Vlookup(B220,Product_Tab!$A$2:$C$16,3,FALSE)</f>
        <v>273</v>
      </c>
      <c r="K220" s="23">
        <f t="shared" si="2"/>
        <v>116844</v>
      </c>
      <c r="L220" s="24">
        <f>Vlookup(D220,Customer_Tab!$A$2:$C$10,3,FALSE)</f>
        <v>0.15</v>
      </c>
      <c r="M220" s="23">
        <f t="shared" si="3"/>
        <v>17526.6</v>
      </c>
      <c r="N220" s="25">
        <f t="shared" si="4"/>
        <v>99317.4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  <c r="E221" s="23">
        <f>IFERROR(__xludf.DUMMYFUNCTION("SPLIT(C221,""_"")"),461.0)</f>
        <v>461</v>
      </c>
      <c r="F221" s="23" t="str">
        <f>IFERROR(__xludf.DUMMYFUNCTION("""COMPUTED_VALUE"""),"March")</f>
        <v>March</v>
      </c>
      <c r="G221" s="23">
        <f>IFERROR(__xludf.DUMMYFUNCTION("""COMPUTED_VALUE"""),28.0)</f>
        <v>28</v>
      </c>
      <c r="H221" s="23" t="str">
        <f>IFERROR(__xludf.DUMMYFUNCTION("""COMPUTED_VALUE"""),"ABC0023")</f>
        <v>ABC0023</v>
      </c>
      <c r="I221" s="23">
        <f t="shared" si="1"/>
        <v>461</v>
      </c>
      <c r="J221" s="23">
        <f>Vlookup(B221,Product_Tab!$A$2:$C$16,3,FALSE)</f>
        <v>151</v>
      </c>
      <c r="K221" s="23">
        <f t="shared" si="2"/>
        <v>69611</v>
      </c>
      <c r="L221" s="24">
        <f>Vlookup(D221,Customer_Tab!$A$2:$C$10,3,FALSE)</f>
        <v>0.18</v>
      </c>
      <c r="M221" s="23">
        <f t="shared" si="3"/>
        <v>12529.98</v>
      </c>
      <c r="N221" s="25">
        <f t="shared" si="4"/>
        <v>57081.02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  <c r="E222" s="23">
        <f>IFERROR(__xludf.DUMMYFUNCTION("SPLIT(C222,""_"")"),376.0)</f>
        <v>376</v>
      </c>
      <c r="F222" s="23" t="str">
        <f>IFERROR(__xludf.DUMMYFUNCTION("""COMPUTED_VALUE"""),"March")</f>
        <v>March</v>
      </c>
      <c r="G222" s="23">
        <f>IFERROR(__xludf.DUMMYFUNCTION("""COMPUTED_VALUE"""),14.0)</f>
        <v>14</v>
      </c>
      <c r="H222" s="23" t="str">
        <f>IFERROR(__xludf.DUMMYFUNCTION("""COMPUTED_VALUE"""),"ABC0023")</f>
        <v>ABC0023</v>
      </c>
      <c r="I222" s="23">
        <f t="shared" si="1"/>
        <v>376</v>
      </c>
      <c r="J222" s="23">
        <f>Vlookup(B222,Product_Tab!$A$2:$C$16,3,FALSE)</f>
        <v>421</v>
      </c>
      <c r="K222" s="23">
        <f t="shared" si="2"/>
        <v>158296</v>
      </c>
      <c r="L222" s="24">
        <f>Vlookup(D222,Customer_Tab!$A$2:$C$10,3,FALSE)</f>
        <v>0.1</v>
      </c>
      <c r="M222" s="23">
        <f t="shared" si="3"/>
        <v>15829.6</v>
      </c>
      <c r="N222" s="25">
        <f t="shared" si="4"/>
        <v>142466.4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  <c r="E223" s="23">
        <f>IFERROR(__xludf.DUMMYFUNCTION("SPLIT(C223,""_"")"),308.0)</f>
        <v>308</v>
      </c>
      <c r="F223" s="23" t="str">
        <f>IFERROR(__xludf.DUMMYFUNCTION("""COMPUTED_VALUE"""),"March")</f>
        <v>March</v>
      </c>
      <c r="G223" s="23">
        <f>IFERROR(__xludf.DUMMYFUNCTION("""COMPUTED_VALUE"""),19.0)</f>
        <v>19</v>
      </c>
      <c r="H223" s="23" t="str">
        <f>IFERROR(__xludf.DUMMYFUNCTION("""COMPUTED_VALUE"""),"ABC0023")</f>
        <v>ABC0023</v>
      </c>
      <c r="I223" s="23">
        <f t="shared" si="1"/>
        <v>308</v>
      </c>
      <c r="J223" s="23">
        <f>Vlookup(B223,Product_Tab!$A$2:$C$16,3,FALSE)</f>
        <v>795</v>
      </c>
      <c r="K223" s="23">
        <f t="shared" si="2"/>
        <v>244860</v>
      </c>
      <c r="L223" s="24">
        <f>Vlookup(D223,Customer_Tab!$A$2:$C$10,3,FALSE)</f>
        <v>0.15</v>
      </c>
      <c r="M223" s="23">
        <f t="shared" si="3"/>
        <v>36729</v>
      </c>
      <c r="N223" s="25">
        <f t="shared" si="4"/>
        <v>208131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  <c r="E224" s="23">
        <f>IFERROR(__xludf.DUMMYFUNCTION("SPLIT(C224,""_"")"),306.0)</f>
        <v>306</v>
      </c>
      <c r="F224" s="23" t="str">
        <f>IFERROR(__xludf.DUMMYFUNCTION("""COMPUTED_VALUE"""),"March")</f>
        <v>March</v>
      </c>
      <c r="G224" s="23">
        <f>IFERROR(__xludf.DUMMYFUNCTION("""COMPUTED_VALUE"""),18.0)</f>
        <v>18</v>
      </c>
      <c r="H224" s="23" t="str">
        <f>IFERROR(__xludf.DUMMYFUNCTION("""COMPUTED_VALUE"""),"ABC0023")</f>
        <v>ABC0023</v>
      </c>
      <c r="I224" s="23">
        <f t="shared" si="1"/>
        <v>306</v>
      </c>
      <c r="J224" s="23">
        <f>Vlookup(B224,Product_Tab!$A$2:$C$16,3,FALSE)</f>
        <v>652</v>
      </c>
      <c r="K224" s="23">
        <f t="shared" si="2"/>
        <v>199512</v>
      </c>
      <c r="L224" s="24">
        <f>Vlookup(D224,Customer_Tab!$A$2:$C$10,3,FALSE)</f>
        <v>0.15</v>
      </c>
      <c r="M224" s="23">
        <f t="shared" si="3"/>
        <v>29926.8</v>
      </c>
      <c r="N224" s="25">
        <f t="shared" si="4"/>
        <v>169585.2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  <c r="E225" s="23">
        <f>IFERROR(__xludf.DUMMYFUNCTION("SPLIT(C225,""_"")"),483.0)</f>
        <v>483</v>
      </c>
      <c r="F225" s="23" t="str">
        <f>IFERROR(__xludf.DUMMYFUNCTION("""COMPUTED_VALUE"""),"March")</f>
        <v>March</v>
      </c>
      <c r="G225" s="23">
        <f>IFERROR(__xludf.DUMMYFUNCTION("""COMPUTED_VALUE"""),30.0)</f>
        <v>30</v>
      </c>
      <c r="H225" s="23" t="str">
        <f>IFERROR(__xludf.DUMMYFUNCTION("""COMPUTED_VALUE"""),"ABC0023")</f>
        <v>ABC0023</v>
      </c>
      <c r="I225" s="23">
        <f t="shared" si="1"/>
        <v>483</v>
      </c>
      <c r="J225" s="23">
        <f>Vlookup(B225,Product_Tab!$A$2:$C$16,3,FALSE)</f>
        <v>378</v>
      </c>
      <c r="K225" s="23">
        <f t="shared" si="2"/>
        <v>182574</v>
      </c>
      <c r="L225" s="24">
        <f>Vlookup(D225,Customer_Tab!$A$2:$C$10,3,FALSE)</f>
        <v>0.18</v>
      </c>
      <c r="M225" s="23">
        <f t="shared" si="3"/>
        <v>32863.32</v>
      </c>
      <c r="N225" s="25">
        <f t="shared" si="4"/>
        <v>149710.68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  <c r="E226" s="23">
        <f>IFERROR(__xludf.DUMMYFUNCTION("SPLIT(C226,""_"")"),336.0)</f>
        <v>336</v>
      </c>
      <c r="F226" s="23" t="str">
        <f>IFERROR(__xludf.DUMMYFUNCTION("""COMPUTED_VALUE"""),"March")</f>
        <v>March</v>
      </c>
      <c r="G226" s="23">
        <f>IFERROR(__xludf.DUMMYFUNCTION("""COMPUTED_VALUE"""),29.0)</f>
        <v>29</v>
      </c>
      <c r="H226" s="23" t="str">
        <f>IFERROR(__xludf.DUMMYFUNCTION("""COMPUTED_VALUE"""),"ABC0023")</f>
        <v>ABC0023</v>
      </c>
      <c r="I226" s="23">
        <f t="shared" si="1"/>
        <v>336</v>
      </c>
      <c r="J226" s="23">
        <f>Vlookup(B226,Product_Tab!$A$2:$C$16,3,FALSE)</f>
        <v>545</v>
      </c>
      <c r="K226" s="23">
        <f t="shared" si="2"/>
        <v>183120</v>
      </c>
      <c r="L226" s="24">
        <f>Vlookup(D226,Customer_Tab!$A$2:$C$10,3,FALSE)</f>
        <v>0.18</v>
      </c>
      <c r="M226" s="23">
        <f t="shared" si="3"/>
        <v>32961.6</v>
      </c>
      <c r="N226" s="25">
        <f t="shared" si="4"/>
        <v>150158.4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  <c r="E227" s="23">
        <f>IFERROR(__xludf.DUMMYFUNCTION("SPLIT(C227,""_"")"),374.0)</f>
        <v>374</v>
      </c>
      <c r="F227" s="23" t="str">
        <f>IFERROR(__xludf.DUMMYFUNCTION("""COMPUTED_VALUE"""),"March")</f>
        <v>March</v>
      </c>
      <c r="G227" s="23">
        <f>IFERROR(__xludf.DUMMYFUNCTION("""COMPUTED_VALUE"""),8.0)</f>
        <v>8</v>
      </c>
      <c r="H227" s="23" t="str">
        <f>IFERROR(__xludf.DUMMYFUNCTION("""COMPUTED_VALUE"""),"ABC0023")</f>
        <v>ABC0023</v>
      </c>
      <c r="I227" s="23">
        <f t="shared" si="1"/>
        <v>374</v>
      </c>
      <c r="J227" s="23">
        <f>Vlookup(B227,Product_Tab!$A$2:$C$16,3,FALSE)</f>
        <v>203</v>
      </c>
      <c r="K227" s="23">
        <f t="shared" si="2"/>
        <v>75922</v>
      </c>
      <c r="L227" s="24">
        <f>Vlookup(D227,Customer_Tab!$A$2:$C$10,3,FALSE)</f>
        <v>0.1</v>
      </c>
      <c r="M227" s="23">
        <f t="shared" si="3"/>
        <v>7592.2</v>
      </c>
      <c r="N227" s="25">
        <f t="shared" si="4"/>
        <v>68329.8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  <c r="E228" s="23">
        <f>IFERROR(__xludf.DUMMYFUNCTION("SPLIT(C228,""_"")"),260.0)</f>
        <v>260</v>
      </c>
      <c r="F228" s="23" t="str">
        <f>IFERROR(__xludf.DUMMYFUNCTION("""COMPUTED_VALUE"""),"March")</f>
        <v>March</v>
      </c>
      <c r="G228" s="23">
        <f>IFERROR(__xludf.DUMMYFUNCTION("""COMPUTED_VALUE"""),15.0)</f>
        <v>15</v>
      </c>
      <c r="H228" s="23" t="str">
        <f>IFERROR(__xludf.DUMMYFUNCTION("""COMPUTED_VALUE"""),"ABC0023")</f>
        <v>ABC0023</v>
      </c>
      <c r="I228" s="23">
        <f t="shared" si="1"/>
        <v>260</v>
      </c>
      <c r="J228" s="23">
        <f>Vlookup(B228,Product_Tab!$A$2:$C$16,3,FALSE)</f>
        <v>131</v>
      </c>
      <c r="K228" s="23">
        <f t="shared" si="2"/>
        <v>34060</v>
      </c>
      <c r="L228" s="24">
        <f>Vlookup(D228,Customer_Tab!$A$2:$C$10,3,FALSE)</f>
        <v>0.1</v>
      </c>
      <c r="M228" s="23">
        <f t="shared" si="3"/>
        <v>3406</v>
      </c>
      <c r="N228" s="25">
        <f t="shared" si="4"/>
        <v>30654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  <c r="E229" s="23">
        <f>IFERROR(__xludf.DUMMYFUNCTION("SPLIT(C229,""_"")"),363.0)</f>
        <v>363</v>
      </c>
      <c r="F229" s="23" t="str">
        <f>IFERROR(__xludf.DUMMYFUNCTION("""COMPUTED_VALUE"""),"March")</f>
        <v>March</v>
      </c>
      <c r="G229" s="23">
        <f>IFERROR(__xludf.DUMMYFUNCTION("""COMPUTED_VALUE"""),25.0)</f>
        <v>25</v>
      </c>
      <c r="H229" s="23" t="str">
        <f>IFERROR(__xludf.DUMMYFUNCTION("""COMPUTED_VALUE"""),"ABC0023")</f>
        <v>ABC0023</v>
      </c>
      <c r="I229" s="23">
        <f t="shared" si="1"/>
        <v>363</v>
      </c>
      <c r="J229" s="23">
        <f>Vlookup(B229,Product_Tab!$A$2:$C$16,3,FALSE)</f>
        <v>50</v>
      </c>
      <c r="K229" s="23">
        <f t="shared" si="2"/>
        <v>18150</v>
      </c>
      <c r="L229" s="24">
        <f>Vlookup(D229,Customer_Tab!$A$2:$C$10,3,FALSE)</f>
        <v>0.15</v>
      </c>
      <c r="M229" s="23">
        <f t="shared" si="3"/>
        <v>2722.5</v>
      </c>
      <c r="N229" s="25">
        <f t="shared" si="4"/>
        <v>15427.5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  <c r="E230" s="23">
        <f>IFERROR(__xludf.DUMMYFUNCTION("SPLIT(C230,""_"")"),250.0)</f>
        <v>250</v>
      </c>
      <c r="F230" s="23" t="str">
        <f>IFERROR(__xludf.DUMMYFUNCTION("""COMPUTED_VALUE"""),"March")</f>
        <v>March</v>
      </c>
      <c r="G230" s="23">
        <f>IFERROR(__xludf.DUMMYFUNCTION("""COMPUTED_VALUE"""),12.0)</f>
        <v>12</v>
      </c>
      <c r="H230" s="23" t="str">
        <f>IFERROR(__xludf.DUMMYFUNCTION("""COMPUTED_VALUE"""),"ABC0023")</f>
        <v>ABC0023</v>
      </c>
      <c r="I230" s="23">
        <f t="shared" si="1"/>
        <v>250</v>
      </c>
      <c r="J230" s="23">
        <f>Vlookup(B230,Product_Tab!$A$2:$C$16,3,FALSE)</f>
        <v>76</v>
      </c>
      <c r="K230" s="23">
        <f t="shared" si="2"/>
        <v>19000</v>
      </c>
      <c r="L230" s="24">
        <f>Vlookup(D230,Customer_Tab!$A$2:$C$10,3,FALSE)</f>
        <v>0.18</v>
      </c>
      <c r="M230" s="23">
        <f t="shared" si="3"/>
        <v>3420</v>
      </c>
      <c r="N230" s="25">
        <f t="shared" si="4"/>
        <v>15580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  <c r="E231" s="23">
        <f>IFERROR(__xludf.DUMMYFUNCTION("SPLIT(C231,""_"")"),253.0)</f>
        <v>253</v>
      </c>
      <c r="F231" s="23" t="str">
        <f>IFERROR(__xludf.DUMMYFUNCTION("""COMPUTED_VALUE"""),"March")</f>
        <v>March</v>
      </c>
      <c r="G231" s="23">
        <f>IFERROR(__xludf.DUMMYFUNCTION("""COMPUTED_VALUE"""),10.0)</f>
        <v>10</v>
      </c>
      <c r="H231" s="23" t="str">
        <f>IFERROR(__xludf.DUMMYFUNCTION("""COMPUTED_VALUE"""),"ABC0023")</f>
        <v>ABC0023</v>
      </c>
      <c r="I231" s="23">
        <f t="shared" si="1"/>
        <v>253</v>
      </c>
      <c r="J231" s="23">
        <f>Vlookup(B231,Product_Tab!$A$2:$C$16,3,FALSE)</f>
        <v>659</v>
      </c>
      <c r="K231" s="23">
        <f t="shared" si="2"/>
        <v>166727</v>
      </c>
      <c r="L231" s="24">
        <f>Vlookup(D231,Customer_Tab!$A$2:$C$10,3,FALSE)</f>
        <v>0.1</v>
      </c>
      <c r="M231" s="23">
        <f t="shared" si="3"/>
        <v>16672.7</v>
      </c>
      <c r="N231" s="25">
        <f t="shared" si="4"/>
        <v>150054.3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  <c r="E232" s="23">
        <f>IFERROR(__xludf.DUMMYFUNCTION("SPLIT(C232,""_"")"),245.0)</f>
        <v>245</v>
      </c>
      <c r="F232" s="23" t="str">
        <f>IFERROR(__xludf.DUMMYFUNCTION("""COMPUTED_VALUE"""),"March")</f>
        <v>March</v>
      </c>
      <c r="G232" s="23">
        <f>IFERROR(__xludf.DUMMYFUNCTION("""COMPUTED_VALUE"""),24.0)</f>
        <v>24</v>
      </c>
      <c r="H232" s="23" t="str">
        <f>IFERROR(__xludf.DUMMYFUNCTION("""COMPUTED_VALUE"""),"ABC0023")</f>
        <v>ABC0023</v>
      </c>
      <c r="I232" s="23">
        <f t="shared" si="1"/>
        <v>245</v>
      </c>
      <c r="J232" s="23">
        <f>Vlookup(B232,Product_Tab!$A$2:$C$16,3,FALSE)</f>
        <v>286</v>
      </c>
      <c r="K232" s="23">
        <f t="shared" si="2"/>
        <v>70070</v>
      </c>
      <c r="L232" s="24">
        <f>Vlookup(D232,Customer_Tab!$A$2:$C$10,3,FALSE)</f>
        <v>0.15</v>
      </c>
      <c r="M232" s="23">
        <f t="shared" si="3"/>
        <v>10510.5</v>
      </c>
      <c r="N232" s="25">
        <f t="shared" si="4"/>
        <v>59559.5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  <c r="E233" s="23">
        <f>IFERROR(__xludf.DUMMYFUNCTION("SPLIT(C233,""_"")"),401.0)</f>
        <v>401</v>
      </c>
      <c r="F233" s="23" t="str">
        <f>IFERROR(__xludf.DUMMYFUNCTION("""COMPUTED_VALUE"""),"March")</f>
        <v>March</v>
      </c>
      <c r="G233" s="23">
        <f>IFERROR(__xludf.DUMMYFUNCTION("""COMPUTED_VALUE"""),1.0)</f>
        <v>1</v>
      </c>
      <c r="H233" s="23" t="str">
        <f>IFERROR(__xludf.DUMMYFUNCTION("""COMPUTED_VALUE"""),"ABC0023")</f>
        <v>ABC0023</v>
      </c>
      <c r="I233" s="23">
        <f t="shared" si="1"/>
        <v>401</v>
      </c>
      <c r="J233" s="23">
        <f>Vlookup(B233,Product_Tab!$A$2:$C$16,3,FALSE)</f>
        <v>223</v>
      </c>
      <c r="K233" s="23">
        <f t="shared" si="2"/>
        <v>89423</v>
      </c>
      <c r="L233" s="24">
        <f>Vlookup(D233,Customer_Tab!$A$2:$C$10,3,FALSE)</f>
        <v>0.15</v>
      </c>
      <c r="M233" s="23">
        <f t="shared" si="3"/>
        <v>13413.45</v>
      </c>
      <c r="N233" s="25">
        <f t="shared" si="4"/>
        <v>76009.55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  <c r="E234" s="23">
        <f>IFERROR(__xludf.DUMMYFUNCTION("SPLIT(C234,""_"")"),254.0)</f>
        <v>254</v>
      </c>
      <c r="F234" s="23" t="str">
        <f>IFERROR(__xludf.DUMMYFUNCTION("""COMPUTED_VALUE"""),"March")</f>
        <v>March</v>
      </c>
      <c r="G234" s="23">
        <f>IFERROR(__xludf.DUMMYFUNCTION("""COMPUTED_VALUE"""),1.0)</f>
        <v>1</v>
      </c>
      <c r="H234" s="23" t="str">
        <f>IFERROR(__xludf.DUMMYFUNCTION("""COMPUTED_VALUE"""),"ABC0023")</f>
        <v>ABC0023</v>
      </c>
      <c r="I234" s="23">
        <f t="shared" si="1"/>
        <v>254</v>
      </c>
      <c r="J234" s="23">
        <f>Vlookup(B234,Product_Tab!$A$2:$C$16,3,FALSE)</f>
        <v>721</v>
      </c>
      <c r="K234" s="23">
        <f t="shared" si="2"/>
        <v>183134</v>
      </c>
      <c r="L234" s="24">
        <f>Vlookup(D234,Customer_Tab!$A$2:$C$10,3,FALSE)</f>
        <v>0.18</v>
      </c>
      <c r="M234" s="23">
        <f t="shared" si="3"/>
        <v>32964.12</v>
      </c>
      <c r="N234" s="25">
        <f t="shared" si="4"/>
        <v>150169.88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  <c r="E235" s="23">
        <f>IFERROR(__xludf.DUMMYFUNCTION("SPLIT(C235,""_"")"),288.0)</f>
        <v>288</v>
      </c>
      <c r="F235" s="23" t="str">
        <f>IFERROR(__xludf.DUMMYFUNCTION("""COMPUTED_VALUE"""),"March")</f>
        <v>March</v>
      </c>
      <c r="G235" s="23">
        <f>IFERROR(__xludf.DUMMYFUNCTION("""COMPUTED_VALUE"""),22.0)</f>
        <v>22</v>
      </c>
      <c r="H235" s="23" t="str">
        <f>IFERROR(__xludf.DUMMYFUNCTION("""COMPUTED_VALUE"""),"ABC0023")</f>
        <v>ABC0023</v>
      </c>
      <c r="I235" s="23">
        <f t="shared" si="1"/>
        <v>288</v>
      </c>
      <c r="J235" s="23">
        <f>Vlookup(B235,Product_Tab!$A$2:$C$16,3,FALSE)</f>
        <v>273</v>
      </c>
      <c r="K235" s="23">
        <f t="shared" si="2"/>
        <v>78624</v>
      </c>
      <c r="L235" s="24">
        <f>Vlookup(D235,Customer_Tab!$A$2:$C$10,3,FALSE)</f>
        <v>0.18</v>
      </c>
      <c r="M235" s="23">
        <f t="shared" si="3"/>
        <v>14152.32</v>
      </c>
      <c r="N235" s="25">
        <f t="shared" si="4"/>
        <v>64471.68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  <c r="E236" s="23">
        <f>IFERROR(__xludf.DUMMYFUNCTION("SPLIT(C236,""_"")"),319.0)</f>
        <v>319</v>
      </c>
      <c r="F236" s="23" t="str">
        <f>IFERROR(__xludf.DUMMYFUNCTION("""COMPUTED_VALUE"""),"March")</f>
        <v>March</v>
      </c>
      <c r="G236" s="23">
        <f>IFERROR(__xludf.DUMMYFUNCTION("""COMPUTED_VALUE"""),29.0)</f>
        <v>29</v>
      </c>
      <c r="H236" s="23" t="str">
        <f>IFERROR(__xludf.DUMMYFUNCTION("""COMPUTED_VALUE"""),"ABC0023")</f>
        <v>ABC0023</v>
      </c>
      <c r="I236" s="23">
        <f t="shared" si="1"/>
        <v>319</v>
      </c>
      <c r="J236" s="23">
        <f>Vlookup(B236,Product_Tab!$A$2:$C$16,3,FALSE)</f>
        <v>151</v>
      </c>
      <c r="K236" s="23">
        <f t="shared" si="2"/>
        <v>48169</v>
      </c>
      <c r="L236" s="24">
        <f>Vlookup(D236,Customer_Tab!$A$2:$C$10,3,FALSE)</f>
        <v>0.1</v>
      </c>
      <c r="M236" s="23">
        <f t="shared" si="3"/>
        <v>4816.9</v>
      </c>
      <c r="N236" s="25">
        <f t="shared" si="4"/>
        <v>43352.1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  <c r="E237" s="23">
        <f>IFERROR(__xludf.DUMMYFUNCTION("SPLIT(C237,""_"")"),314.0)</f>
        <v>314</v>
      </c>
      <c r="F237" s="23" t="str">
        <f>IFERROR(__xludf.DUMMYFUNCTION("""COMPUTED_VALUE"""),"March")</f>
        <v>March</v>
      </c>
      <c r="G237" s="23">
        <f>IFERROR(__xludf.DUMMYFUNCTION("""COMPUTED_VALUE"""),15.0)</f>
        <v>15</v>
      </c>
      <c r="H237" s="23" t="str">
        <f>IFERROR(__xludf.DUMMYFUNCTION("""COMPUTED_VALUE"""),"ABC0023")</f>
        <v>ABC0023</v>
      </c>
      <c r="I237" s="23">
        <f t="shared" si="1"/>
        <v>314</v>
      </c>
      <c r="J237" s="23">
        <f>Vlookup(B237,Product_Tab!$A$2:$C$16,3,FALSE)</f>
        <v>421</v>
      </c>
      <c r="K237" s="23">
        <f t="shared" si="2"/>
        <v>132194</v>
      </c>
      <c r="L237" s="24">
        <f>Vlookup(D237,Customer_Tab!$A$2:$C$10,3,FALSE)</f>
        <v>0.1</v>
      </c>
      <c r="M237" s="23">
        <f t="shared" si="3"/>
        <v>13219.4</v>
      </c>
      <c r="N237" s="25">
        <f t="shared" si="4"/>
        <v>118974.6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  <c r="E238" s="23">
        <f>IFERROR(__xludf.DUMMYFUNCTION("SPLIT(C238,""_"")"),220.0)</f>
        <v>220</v>
      </c>
      <c r="F238" s="23" t="str">
        <f>IFERROR(__xludf.DUMMYFUNCTION("""COMPUTED_VALUE"""),"March")</f>
        <v>March</v>
      </c>
      <c r="G238" s="23">
        <f>IFERROR(__xludf.DUMMYFUNCTION("""COMPUTED_VALUE"""),26.0)</f>
        <v>26</v>
      </c>
      <c r="H238" s="23" t="str">
        <f>IFERROR(__xludf.DUMMYFUNCTION("""COMPUTED_VALUE"""),"ABC0023")</f>
        <v>ABC0023</v>
      </c>
      <c r="I238" s="23">
        <f t="shared" si="1"/>
        <v>220</v>
      </c>
      <c r="J238" s="23">
        <f>Vlookup(B238,Product_Tab!$A$2:$C$16,3,FALSE)</f>
        <v>795</v>
      </c>
      <c r="K238" s="23">
        <f t="shared" si="2"/>
        <v>174900</v>
      </c>
      <c r="L238" s="24">
        <f>Vlookup(D238,Customer_Tab!$A$2:$C$10,3,FALSE)</f>
        <v>0.15</v>
      </c>
      <c r="M238" s="23">
        <f t="shared" si="3"/>
        <v>26235</v>
      </c>
      <c r="N238" s="25">
        <f t="shared" si="4"/>
        <v>148665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  <c r="E239" s="23">
        <f>IFERROR(__xludf.DUMMYFUNCTION("SPLIT(C239,""_"")"),364.0)</f>
        <v>364</v>
      </c>
      <c r="F239" s="23" t="str">
        <f>IFERROR(__xludf.DUMMYFUNCTION("""COMPUTED_VALUE"""),"March")</f>
        <v>March</v>
      </c>
      <c r="G239" s="23">
        <f>IFERROR(__xludf.DUMMYFUNCTION("""COMPUTED_VALUE"""),6.0)</f>
        <v>6</v>
      </c>
      <c r="H239" s="23" t="str">
        <f>IFERROR(__xludf.DUMMYFUNCTION("""COMPUTED_VALUE"""),"ABC0023")</f>
        <v>ABC0023</v>
      </c>
      <c r="I239" s="23">
        <f t="shared" si="1"/>
        <v>364</v>
      </c>
      <c r="J239" s="23">
        <f>Vlookup(B239,Product_Tab!$A$2:$C$16,3,FALSE)</f>
        <v>652</v>
      </c>
      <c r="K239" s="23">
        <f t="shared" si="2"/>
        <v>237328</v>
      </c>
      <c r="L239" s="24">
        <f>Vlookup(D239,Customer_Tab!$A$2:$C$10,3,FALSE)</f>
        <v>0.15</v>
      </c>
      <c r="M239" s="23">
        <f t="shared" si="3"/>
        <v>35599.2</v>
      </c>
      <c r="N239" s="25">
        <f t="shared" si="4"/>
        <v>201728.8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  <c r="E240" s="23">
        <f>IFERROR(__xludf.DUMMYFUNCTION("SPLIT(C240,""_"")"),479.0)</f>
        <v>479</v>
      </c>
      <c r="F240" s="23" t="str">
        <f>IFERROR(__xludf.DUMMYFUNCTION("""COMPUTED_VALUE"""),"March")</f>
        <v>March</v>
      </c>
      <c r="G240" s="23">
        <f>IFERROR(__xludf.DUMMYFUNCTION("""COMPUTED_VALUE"""),13.0)</f>
        <v>13</v>
      </c>
      <c r="H240" s="23" t="str">
        <f>IFERROR(__xludf.DUMMYFUNCTION("""COMPUTED_VALUE"""),"ABC0024")</f>
        <v>ABC0024</v>
      </c>
      <c r="I240" s="23">
        <f t="shared" si="1"/>
        <v>479</v>
      </c>
      <c r="J240" s="23">
        <f>Vlookup(B240,Product_Tab!$A$2:$C$16,3,FALSE)</f>
        <v>378</v>
      </c>
      <c r="K240" s="23">
        <f t="shared" si="2"/>
        <v>181062</v>
      </c>
      <c r="L240" s="24">
        <f>Vlookup(D240,Customer_Tab!$A$2:$C$10,3,FALSE)</f>
        <v>0.18</v>
      </c>
      <c r="M240" s="23">
        <f t="shared" si="3"/>
        <v>32591.16</v>
      </c>
      <c r="N240" s="25">
        <f t="shared" si="4"/>
        <v>148470.84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  <c r="E241" s="23">
        <f>IFERROR(__xludf.DUMMYFUNCTION("SPLIT(C241,""_"")"),304.0)</f>
        <v>304</v>
      </c>
      <c r="F241" s="23" t="str">
        <f>IFERROR(__xludf.DUMMYFUNCTION("""COMPUTED_VALUE"""),"March")</f>
        <v>March</v>
      </c>
      <c r="G241" s="23">
        <f>IFERROR(__xludf.DUMMYFUNCTION("""COMPUTED_VALUE"""),9.0)</f>
        <v>9</v>
      </c>
      <c r="H241" s="23" t="str">
        <f>IFERROR(__xludf.DUMMYFUNCTION("""COMPUTED_VALUE"""),"ABC0025")</f>
        <v>ABC0025</v>
      </c>
      <c r="I241" s="23">
        <f t="shared" si="1"/>
        <v>304</v>
      </c>
      <c r="J241" s="23">
        <f>Vlookup(B241,Product_Tab!$A$2:$C$16,3,FALSE)</f>
        <v>545</v>
      </c>
      <c r="K241" s="23">
        <f t="shared" si="2"/>
        <v>165680</v>
      </c>
      <c r="L241" s="24">
        <f>Vlookup(D241,Customer_Tab!$A$2:$C$10,3,FALSE)</f>
        <v>0.18</v>
      </c>
      <c r="M241" s="23">
        <f t="shared" si="3"/>
        <v>29822.4</v>
      </c>
      <c r="N241" s="25">
        <f t="shared" si="4"/>
        <v>135857.6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  <c r="E242" s="23">
        <f>IFERROR(__xludf.DUMMYFUNCTION("SPLIT(C242,""_"")"),287.0)</f>
        <v>287</v>
      </c>
      <c r="F242" s="23" t="str">
        <f>IFERROR(__xludf.DUMMYFUNCTION("""COMPUTED_VALUE"""),"March")</f>
        <v>March</v>
      </c>
      <c r="G242" s="23">
        <f>IFERROR(__xludf.DUMMYFUNCTION("""COMPUTED_VALUE"""),22.0)</f>
        <v>22</v>
      </c>
      <c r="H242" s="23" t="str">
        <f>IFERROR(__xludf.DUMMYFUNCTION("""COMPUTED_VALUE"""),"ABC0026")</f>
        <v>ABC0026</v>
      </c>
      <c r="I242" s="23">
        <f t="shared" si="1"/>
        <v>287</v>
      </c>
      <c r="J242" s="23">
        <f>Vlookup(B242,Product_Tab!$A$2:$C$16,3,FALSE)</f>
        <v>203</v>
      </c>
      <c r="K242" s="23">
        <f t="shared" si="2"/>
        <v>58261</v>
      </c>
      <c r="L242" s="24">
        <f>Vlookup(D242,Customer_Tab!$A$2:$C$10,3,FALSE)</f>
        <v>0.1</v>
      </c>
      <c r="M242" s="23">
        <f t="shared" si="3"/>
        <v>5826.1</v>
      </c>
      <c r="N242" s="25">
        <f t="shared" si="4"/>
        <v>52434.9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  <c r="E243" s="23">
        <f>IFERROR(__xludf.DUMMYFUNCTION("SPLIT(C243,""_"")"),388.0)</f>
        <v>388</v>
      </c>
      <c r="F243" s="23" t="str">
        <f>IFERROR(__xludf.DUMMYFUNCTION("""COMPUTED_VALUE"""),"March")</f>
        <v>March</v>
      </c>
      <c r="G243" s="23">
        <f>IFERROR(__xludf.DUMMYFUNCTION("""COMPUTED_VALUE"""),18.0)</f>
        <v>18</v>
      </c>
      <c r="H243" s="23" t="str">
        <f>IFERROR(__xludf.DUMMYFUNCTION("""COMPUTED_VALUE"""),"ABC0027")</f>
        <v>ABC0027</v>
      </c>
      <c r="I243" s="23">
        <f t="shared" si="1"/>
        <v>388</v>
      </c>
      <c r="J243" s="23">
        <f>Vlookup(B243,Product_Tab!$A$2:$C$16,3,FALSE)</f>
        <v>131</v>
      </c>
      <c r="K243" s="23">
        <f t="shared" si="2"/>
        <v>50828</v>
      </c>
      <c r="L243" s="24">
        <f>Vlookup(D243,Customer_Tab!$A$2:$C$10,3,FALSE)</f>
        <v>0.1</v>
      </c>
      <c r="M243" s="23">
        <f t="shared" si="3"/>
        <v>5082.8</v>
      </c>
      <c r="N243" s="25">
        <f t="shared" si="4"/>
        <v>45745.2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  <c r="E244" s="23">
        <f>IFERROR(__xludf.DUMMYFUNCTION("SPLIT(C244,""_"")"),419.0)</f>
        <v>419</v>
      </c>
      <c r="F244" s="23" t="str">
        <f>IFERROR(__xludf.DUMMYFUNCTION("""COMPUTED_VALUE"""),"March")</f>
        <v>March</v>
      </c>
      <c r="G244" s="23">
        <f>IFERROR(__xludf.DUMMYFUNCTION("""COMPUTED_VALUE"""),21.0)</f>
        <v>21</v>
      </c>
      <c r="H244" s="23" t="str">
        <f>IFERROR(__xludf.DUMMYFUNCTION("""COMPUTED_VALUE"""),"ABC0028")</f>
        <v>ABC0028</v>
      </c>
      <c r="I244" s="23">
        <f t="shared" si="1"/>
        <v>419</v>
      </c>
      <c r="J244" s="23">
        <f>Vlookup(B244,Product_Tab!$A$2:$C$16,3,FALSE)</f>
        <v>50</v>
      </c>
      <c r="K244" s="23">
        <f t="shared" si="2"/>
        <v>20950</v>
      </c>
      <c r="L244" s="24">
        <f>Vlookup(D244,Customer_Tab!$A$2:$C$10,3,FALSE)</f>
        <v>0.15</v>
      </c>
      <c r="M244" s="23">
        <f t="shared" si="3"/>
        <v>3142.5</v>
      </c>
      <c r="N244" s="25">
        <f t="shared" si="4"/>
        <v>17807.5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  <c r="E245" s="23">
        <f>IFERROR(__xludf.DUMMYFUNCTION("SPLIT(C245,""_"")"),350.0)</f>
        <v>350</v>
      </c>
      <c r="F245" s="23" t="str">
        <f>IFERROR(__xludf.DUMMYFUNCTION("""COMPUTED_VALUE"""),"March")</f>
        <v>March</v>
      </c>
      <c r="G245" s="23">
        <f>IFERROR(__xludf.DUMMYFUNCTION("""COMPUTED_VALUE"""),21.0)</f>
        <v>21</v>
      </c>
      <c r="H245" s="23" t="str">
        <f>IFERROR(__xludf.DUMMYFUNCTION("""COMPUTED_VALUE"""),"ABC0029")</f>
        <v>ABC0029</v>
      </c>
      <c r="I245" s="23">
        <f t="shared" si="1"/>
        <v>350</v>
      </c>
      <c r="J245" s="23">
        <f>Vlookup(B245,Product_Tab!$A$2:$C$16,3,FALSE)</f>
        <v>76</v>
      </c>
      <c r="K245" s="23">
        <f t="shared" si="2"/>
        <v>26600</v>
      </c>
      <c r="L245" s="24">
        <f>Vlookup(D245,Customer_Tab!$A$2:$C$10,3,FALSE)</f>
        <v>0.15</v>
      </c>
      <c r="M245" s="23">
        <f t="shared" si="3"/>
        <v>3990</v>
      </c>
      <c r="N245" s="25">
        <f t="shared" si="4"/>
        <v>22610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  <c r="E246" s="23">
        <f>IFERROR(__xludf.DUMMYFUNCTION("SPLIT(C246,""_"")"),489.0)</f>
        <v>489</v>
      </c>
      <c r="F246" s="23" t="str">
        <f>IFERROR(__xludf.DUMMYFUNCTION("""COMPUTED_VALUE"""),"March")</f>
        <v>March</v>
      </c>
      <c r="G246" s="23">
        <f>IFERROR(__xludf.DUMMYFUNCTION("""COMPUTED_VALUE"""),23.0)</f>
        <v>23</v>
      </c>
      <c r="H246" s="23" t="str">
        <f>IFERROR(__xludf.DUMMYFUNCTION("""COMPUTED_VALUE"""),"ABC0030")</f>
        <v>ABC0030</v>
      </c>
      <c r="I246" s="23">
        <f t="shared" si="1"/>
        <v>489</v>
      </c>
      <c r="J246" s="23">
        <f>Vlookup(B246,Product_Tab!$A$2:$C$16,3,FALSE)</f>
        <v>659</v>
      </c>
      <c r="K246" s="23">
        <f t="shared" si="2"/>
        <v>322251</v>
      </c>
      <c r="L246" s="24">
        <f>Vlookup(D246,Customer_Tab!$A$2:$C$10,3,FALSE)</f>
        <v>0.18</v>
      </c>
      <c r="M246" s="23">
        <f t="shared" si="3"/>
        <v>58005.18</v>
      </c>
      <c r="N246" s="25">
        <f t="shared" si="4"/>
        <v>264245.82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  <c r="E247" s="23">
        <f>IFERROR(__xludf.DUMMYFUNCTION("SPLIT(C247,""_"")"),253.0)</f>
        <v>253</v>
      </c>
      <c r="F247" s="23" t="str">
        <f>IFERROR(__xludf.DUMMYFUNCTION("""COMPUTED_VALUE"""),"March")</f>
        <v>March</v>
      </c>
      <c r="G247" s="23">
        <f>IFERROR(__xludf.DUMMYFUNCTION("""COMPUTED_VALUE"""),30.0)</f>
        <v>30</v>
      </c>
      <c r="H247" s="23" t="str">
        <f>IFERROR(__xludf.DUMMYFUNCTION("""COMPUTED_VALUE"""),"ABC0031")</f>
        <v>ABC0031</v>
      </c>
      <c r="I247" s="23">
        <f t="shared" si="1"/>
        <v>253</v>
      </c>
      <c r="J247" s="23">
        <f>Vlookup(B247,Product_Tab!$A$2:$C$16,3,FALSE)</f>
        <v>286</v>
      </c>
      <c r="K247" s="23">
        <f t="shared" si="2"/>
        <v>72358</v>
      </c>
      <c r="L247" s="24">
        <f>Vlookup(D247,Customer_Tab!$A$2:$C$10,3,FALSE)</f>
        <v>0.18</v>
      </c>
      <c r="M247" s="23">
        <f t="shared" si="3"/>
        <v>13024.44</v>
      </c>
      <c r="N247" s="25">
        <f t="shared" si="4"/>
        <v>59333.56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  <c r="E248" s="23">
        <f>IFERROR(__xludf.DUMMYFUNCTION("SPLIT(C248,""_"")"),365.0)</f>
        <v>365</v>
      </c>
      <c r="F248" s="23" t="str">
        <f>IFERROR(__xludf.DUMMYFUNCTION("""COMPUTED_VALUE"""),"March")</f>
        <v>March</v>
      </c>
      <c r="G248" s="23">
        <f>IFERROR(__xludf.DUMMYFUNCTION("""COMPUTED_VALUE"""),26.0)</f>
        <v>26</v>
      </c>
      <c r="H248" s="23" t="str">
        <f>IFERROR(__xludf.DUMMYFUNCTION("""COMPUTED_VALUE"""),"ABC0023")</f>
        <v>ABC0023</v>
      </c>
      <c r="I248" s="23">
        <f t="shared" si="1"/>
        <v>365</v>
      </c>
      <c r="J248" s="23">
        <f>Vlookup(B248,Product_Tab!$A$2:$C$16,3,FALSE)</f>
        <v>223</v>
      </c>
      <c r="K248" s="23">
        <f t="shared" si="2"/>
        <v>81395</v>
      </c>
      <c r="L248" s="24">
        <f>Vlookup(D248,Customer_Tab!$A$2:$C$10,3,FALSE)</f>
        <v>0.1</v>
      </c>
      <c r="M248" s="23">
        <f t="shared" si="3"/>
        <v>8139.5</v>
      </c>
      <c r="N248" s="25">
        <f t="shared" si="4"/>
        <v>73255.5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  <c r="E249" s="23">
        <f>IFERROR(__xludf.DUMMYFUNCTION("SPLIT(C249,""_"")"),202.0)</f>
        <v>202</v>
      </c>
      <c r="F249" s="23" t="str">
        <f>IFERROR(__xludf.DUMMYFUNCTION("""COMPUTED_VALUE"""),"March")</f>
        <v>March</v>
      </c>
      <c r="G249" s="23">
        <f>IFERROR(__xludf.DUMMYFUNCTION("""COMPUTED_VALUE"""),23.0)</f>
        <v>23</v>
      </c>
      <c r="H249" s="23" t="str">
        <f>IFERROR(__xludf.DUMMYFUNCTION("""COMPUTED_VALUE"""),"ABC0024")</f>
        <v>ABC0024</v>
      </c>
      <c r="I249" s="23">
        <f t="shared" si="1"/>
        <v>202</v>
      </c>
      <c r="J249" s="23">
        <f>Vlookup(B249,Product_Tab!$A$2:$C$16,3,FALSE)</f>
        <v>721</v>
      </c>
      <c r="K249" s="23">
        <f t="shared" si="2"/>
        <v>145642</v>
      </c>
      <c r="L249" s="24">
        <f>Vlookup(D249,Customer_Tab!$A$2:$C$10,3,FALSE)</f>
        <v>0.1</v>
      </c>
      <c r="M249" s="23">
        <f t="shared" si="3"/>
        <v>14564.2</v>
      </c>
      <c r="N249" s="25">
        <f t="shared" si="4"/>
        <v>131077.8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  <c r="E250" s="23">
        <f>IFERROR(__xludf.DUMMYFUNCTION("SPLIT(C250,""_"")"),272.0)</f>
        <v>272</v>
      </c>
      <c r="F250" s="23" t="str">
        <f>IFERROR(__xludf.DUMMYFUNCTION("""COMPUTED_VALUE"""),"March")</f>
        <v>March</v>
      </c>
      <c r="G250" s="23">
        <f>IFERROR(__xludf.DUMMYFUNCTION("""COMPUTED_VALUE"""),12.0)</f>
        <v>12</v>
      </c>
      <c r="H250" s="23" t="str">
        <f>IFERROR(__xludf.DUMMYFUNCTION("""COMPUTED_VALUE"""),"ABC0025")</f>
        <v>ABC0025</v>
      </c>
      <c r="I250" s="23">
        <f t="shared" si="1"/>
        <v>272</v>
      </c>
      <c r="J250" s="23">
        <f>Vlookup(B250,Product_Tab!$A$2:$C$16,3,FALSE)</f>
        <v>273</v>
      </c>
      <c r="K250" s="23">
        <f t="shared" si="2"/>
        <v>74256</v>
      </c>
      <c r="L250" s="24">
        <f>Vlookup(D250,Customer_Tab!$A$2:$C$10,3,FALSE)</f>
        <v>0.15</v>
      </c>
      <c r="M250" s="23">
        <f t="shared" si="3"/>
        <v>11138.4</v>
      </c>
      <c r="N250" s="25">
        <f t="shared" si="4"/>
        <v>63117.6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  <c r="E251" s="23">
        <f>IFERROR(__xludf.DUMMYFUNCTION("SPLIT(C251,""_"")"),452.0)</f>
        <v>452</v>
      </c>
      <c r="F251" s="23" t="str">
        <f>IFERROR(__xludf.DUMMYFUNCTION("""COMPUTED_VALUE"""),"March")</f>
        <v>March</v>
      </c>
      <c r="G251" s="23">
        <f>IFERROR(__xludf.DUMMYFUNCTION("""COMPUTED_VALUE"""),17.0)</f>
        <v>17</v>
      </c>
      <c r="H251" s="23" t="str">
        <f>IFERROR(__xludf.DUMMYFUNCTION("""COMPUTED_VALUE"""),"ABC0026")</f>
        <v>ABC0026</v>
      </c>
      <c r="I251" s="23">
        <f t="shared" si="1"/>
        <v>452</v>
      </c>
      <c r="J251" s="23">
        <f>Vlookup(B251,Product_Tab!$A$2:$C$16,3,FALSE)</f>
        <v>151</v>
      </c>
      <c r="K251" s="23">
        <f t="shared" si="2"/>
        <v>68252</v>
      </c>
      <c r="L251" s="24">
        <f>Vlookup(D251,Customer_Tab!$A$2:$C$10,3,FALSE)</f>
        <v>0.1</v>
      </c>
      <c r="M251" s="23">
        <f t="shared" si="3"/>
        <v>6825.2</v>
      </c>
      <c r="N251" s="25">
        <f t="shared" si="4"/>
        <v>61426.8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  <c r="E252" s="23">
        <f>IFERROR(__xludf.DUMMYFUNCTION("SPLIT(C252,""_"")"),409.0)</f>
        <v>409</v>
      </c>
      <c r="F252" s="23" t="str">
        <f>IFERROR(__xludf.DUMMYFUNCTION("""COMPUTED_VALUE"""),"March")</f>
        <v>March</v>
      </c>
      <c r="G252" s="23">
        <f>IFERROR(__xludf.DUMMYFUNCTION("""COMPUTED_VALUE"""),20.0)</f>
        <v>20</v>
      </c>
      <c r="H252" s="23" t="str">
        <f>IFERROR(__xludf.DUMMYFUNCTION("""COMPUTED_VALUE"""),"ABC0027")</f>
        <v>ABC0027</v>
      </c>
      <c r="I252" s="23">
        <f t="shared" si="1"/>
        <v>409</v>
      </c>
      <c r="J252" s="23">
        <f>Vlookup(B252,Product_Tab!$A$2:$C$16,3,FALSE)</f>
        <v>421</v>
      </c>
      <c r="K252" s="23">
        <f t="shared" si="2"/>
        <v>172189</v>
      </c>
      <c r="L252" s="24">
        <f>Vlookup(D252,Customer_Tab!$A$2:$C$10,3,FALSE)</f>
        <v>0.1</v>
      </c>
      <c r="M252" s="23">
        <f t="shared" si="3"/>
        <v>17218.9</v>
      </c>
      <c r="N252" s="25">
        <f t="shared" si="4"/>
        <v>154970.1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  <c r="E253" s="23">
        <f>IFERROR(__xludf.DUMMYFUNCTION("SPLIT(C253,""_"")"),229.0)</f>
        <v>229</v>
      </c>
      <c r="F253" s="23" t="str">
        <f>IFERROR(__xludf.DUMMYFUNCTION("""COMPUTED_VALUE"""),"March")</f>
        <v>March</v>
      </c>
      <c r="G253" s="23">
        <f>IFERROR(__xludf.DUMMYFUNCTION("""COMPUTED_VALUE"""),26.0)</f>
        <v>26</v>
      </c>
      <c r="H253" s="23" t="str">
        <f>IFERROR(__xludf.DUMMYFUNCTION("""COMPUTED_VALUE"""),"ABC0028")</f>
        <v>ABC0028</v>
      </c>
      <c r="I253" s="23">
        <f t="shared" si="1"/>
        <v>229</v>
      </c>
      <c r="J253" s="23">
        <f>Vlookup(B253,Product_Tab!$A$2:$C$16,3,FALSE)</f>
        <v>795</v>
      </c>
      <c r="K253" s="23">
        <f t="shared" si="2"/>
        <v>182055</v>
      </c>
      <c r="L253" s="24">
        <f>Vlookup(D253,Customer_Tab!$A$2:$C$10,3,FALSE)</f>
        <v>0.15</v>
      </c>
      <c r="M253" s="23">
        <f t="shared" si="3"/>
        <v>27308.25</v>
      </c>
      <c r="N253" s="25">
        <f t="shared" si="4"/>
        <v>154746.75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  <c r="E254" s="23">
        <f>IFERROR(__xludf.DUMMYFUNCTION("SPLIT(C254,""_"")"),335.0)</f>
        <v>335</v>
      </c>
      <c r="F254" s="23" t="str">
        <f>IFERROR(__xludf.DUMMYFUNCTION("""COMPUTED_VALUE"""),"April")</f>
        <v>April</v>
      </c>
      <c r="G254" s="23">
        <f>IFERROR(__xludf.DUMMYFUNCTION("""COMPUTED_VALUE"""),9.0)</f>
        <v>9</v>
      </c>
      <c r="H254" s="23" t="str">
        <f>IFERROR(__xludf.DUMMYFUNCTION("""COMPUTED_VALUE"""),"ABC0023")</f>
        <v>ABC0023</v>
      </c>
      <c r="I254" s="23">
        <f t="shared" si="1"/>
        <v>335</v>
      </c>
      <c r="J254" s="23">
        <f>Vlookup(B254,Product_Tab!$A$2:$C$16,3,FALSE)</f>
        <v>652</v>
      </c>
      <c r="K254" s="23">
        <f t="shared" si="2"/>
        <v>218420</v>
      </c>
      <c r="L254" s="24">
        <f>Vlookup(D254,Customer_Tab!$A$2:$C$10,3,FALSE)</f>
        <v>0.15</v>
      </c>
      <c r="M254" s="23">
        <f t="shared" si="3"/>
        <v>32763</v>
      </c>
      <c r="N254" s="25">
        <f t="shared" si="4"/>
        <v>185657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  <c r="E255" s="23">
        <f>IFERROR(__xludf.DUMMYFUNCTION("SPLIT(C255,""_"")"),331.0)</f>
        <v>331</v>
      </c>
      <c r="F255" s="23" t="str">
        <f>IFERROR(__xludf.DUMMYFUNCTION("""COMPUTED_VALUE"""),"April")</f>
        <v>April</v>
      </c>
      <c r="G255" s="23">
        <f>IFERROR(__xludf.DUMMYFUNCTION("""COMPUTED_VALUE"""),15.0)</f>
        <v>15</v>
      </c>
      <c r="H255" s="23" t="str">
        <f>IFERROR(__xludf.DUMMYFUNCTION("""COMPUTED_VALUE"""),"ABC0024")</f>
        <v>ABC0024</v>
      </c>
      <c r="I255" s="23">
        <f t="shared" si="1"/>
        <v>331</v>
      </c>
      <c r="J255" s="23">
        <f>Vlookup(B255,Product_Tab!$A$2:$C$16,3,FALSE)</f>
        <v>652</v>
      </c>
      <c r="K255" s="23">
        <f t="shared" si="2"/>
        <v>215812</v>
      </c>
      <c r="L255" s="24">
        <f>Vlookup(D255,Customer_Tab!$A$2:$C$10,3,FALSE)</f>
        <v>0.15</v>
      </c>
      <c r="M255" s="23">
        <f t="shared" si="3"/>
        <v>32371.8</v>
      </c>
      <c r="N255" s="25">
        <f t="shared" si="4"/>
        <v>183440.2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  <c r="E256" s="23">
        <f>IFERROR(__xludf.DUMMYFUNCTION("SPLIT(C256,""_"")"),490.0)</f>
        <v>490</v>
      </c>
      <c r="F256" s="23" t="str">
        <f>IFERROR(__xludf.DUMMYFUNCTION("""COMPUTED_VALUE"""),"April")</f>
        <v>April</v>
      </c>
      <c r="G256" s="23">
        <f>IFERROR(__xludf.DUMMYFUNCTION("""COMPUTED_VALUE"""),11.0)</f>
        <v>11</v>
      </c>
      <c r="H256" s="23" t="str">
        <f>IFERROR(__xludf.DUMMYFUNCTION("""COMPUTED_VALUE"""),"ABC0025")</f>
        <v>ABC0025</v>
      </c>
      <c r="I256" s="23">
        <f t="shared" si="1"/>
        <v>490</v>
      </c>
      <c r="J256" s="23">
        <f>Vlookup(B256,Product_Tab!$A$2:$C$16,3,FALSE)</f>
        <v>652</v>
      </c>
      <c r="K256" s="23">
        <f t="shared" si="2"/>
        <v>319480</v>
      </c>
      <c r="L256" s="24">
        <f>Vlookup(D256,Customer_Tab!$A$2:$C$10,3,FALSE)</f>
        <v>0.18</v>
      </c>
      <c r="M256" s="23">
        <f t="shared" si="3"/>
        <v>57506.4</v>
      </c>
      <c r="N256" s="25">
        <f t="shared" si="4"/>
        <v>261973.6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  <c r="E257" s="23">
        <f>IFERROR(__xludf.DUMMYFUNCTION("SPLIT(C257,""_"")"),316.0)</f>
        <v>316</v>
      </c>
      <c r="F257" s="23" t="str">
        <f>IFERROR(__xludf.DUMMYFUNCTION("""COMPUTED_VALUE"""),"April")</f>
        <v>April</v>
      </c>
      <c r="G257" s="23">
        <f>IFERROR(__xludf.DUMMYFUNCTION("""COMPUTED_VALUE"""),22.0)</f>
        <v>22</v>
      </c>
      <c r="H257" s="23" t="str">
        <f>IFERROR(__xludf.DUMMYFUNCTION("""COMPUTED_VALUE"""),"ABC0026")</f>
        <v>ABC0026</v>
      </c>
      <c r="I257" s="23">
        <f t="shared" si="1"/>
        <v>316</v>
      </c>
      <c r="J257" s="23">
        <f>Vlookup(B257,Product_Tab!$A$2:$C$16,3,FALSE)</f>
        <v>652</v>
      </c>
      <c r="K257" s="23">
        <f t="shared" si="2"/>
        <v>206032</v>
      </c>
      <c r="L257" s="24">
        <f>Vlookup(D257,Customer_Tab!$A$2:$C$10,3,FALSE)</f>
        <v>0.18</v>
      </c>
      <c r="M257" s="23">
        <f t="shared" si="3"/>
        <v>37085.76</v>
      </c>
      <c r="N257" s="25">
        <f t="shared" si="4"/>
        <v>168946.24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  <c r="E258" s="23">
        <f>IFERROR(__xludf.DUMMYFUNCTION("SPLIT(C258,""_"")"),348.0)</f>
        <v>348</v>
      </c>
      <c r="F258" s="23" t="str">
        <f>IFERROR(__xludf.DUMMYFUNCTION("""COMPUTED_VALUE"""),"April")</f>
        <v>April</v>
      </c>
      <c r="G258" s="23">
        <f>IFERROR(__xludf.DUMMYFUNCTION("""COMPUTED_VALUE"""),26.0)</f>
        <v>26</v>
      </c>
      <c r="H258" s="23" t="str">
        <f>IFERROR(__xludf.DUMMYFUNCTION("""COMPUTED_VALUE"""),"ABC0027")</f>
        <v>ABC0027</v>
      </c>
      <c r="I258" s="23">
        <f t="shared" si="1"/>
        <v>348</v>
      </c>
      <c r="J258" s="23">
        <f>Vlookup(B258,Product_Tab!$A$2:$C$16,3,FALSE)</f>
        <v>652</v>
      </c>
      <c r="K258" s="23">
        <f t="shared" si="2"/>
        <v>226896</v>
      </c>
      <c r="L258" s="24">
        <f>Vlookup(D258,Customer_Tab!$A$2:$C$10,3,FALSE)</f>
        <v>0.1</v>
      </c>
      <c r="M258" s="23">
        <f t="shared" si="3"/>
        <v>22689.6</v>
      </c>
      <c r="N258" s="25">
        <f t="shared" si="4"/>
        <v>204206.4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  <c r="E259" s="23">
        <f>IFERROR(__xludf.DUMMYFUNCTION("SPLIT(C259,""_"")"),484.0)</f>
        <v>484</v>
      </c>
      <c r="F259" s="23" t="str">
        <f>IFERROR(__xludf.DUMMYFUNCTION("""COMPUTED_VALUE"""),"April")</f>
        <v>April</v>
      </c>
      <c r="G259" s="23">
        <f>IFERROR(__xludf.DUMMYFUNCTION("""COMPUTED_VALUE"""),18.0)</f>
        <v>18</v>
      </c>
      <c r="H259" s="23" t="str">
        <f>IFERROR(__xludf.DUMMYFUNCTION("""COMPUTED_VALUE"""),"ABC0028")</f>
        <v>ABC0028</v>
      </c>
      <c r="I259" s="23">
        <f t="shared" si="1"/>
        <v>484</v>
      </c>
      <c r="J259" s="23">
        <f>Vlookup(B259,Product_Tab!$A$2:$C$16,3,FALSE)</f>
        <v>652</v>
      </c>
      <c r="K259" s="23">
        <f t="shared" si="2"/>
        <v>315568</v>
      </c>
      <c r="L259" s="24">
        <f>Vlookup(D259,Customer_Tab!$A$2:$C$10,3,FALSE)</f>
        <v>0.1</v>
      </c>
      <c r="M259" s="23">
        <f t="shared" si="3"/>
        <v>31556.8</v>
      </c>
      <c r="N259" s="25">
        <f t="shared" si="4"/>
        <v>284011.2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  <c r="E260" s="23">
        <f>IFERROR(__xludf.DUMMYFUNCTION("SPLIT(C260,""_"")"),383.0)</f>
        <v>383</v>
      </c>
      <c r="F260" s="23" t="str">
        <f>IFERROR(__xludf.DUMMYFUNCTION("""COMPUTED_VALUE"""),"April")</f>
        <v>April</v>
      </c>
      <c r="G260" s="23">
        <f>IFERROR(__xludf.DUMMYFUNCTION("""COMPUTED_VALUE"""),2.0)</f>
        <v>2</v>
      </c>
      <c r="H260" s="23" t="str">
        <f>IFERROR(__xludf.DUMMYFUNCTION("""COMPUTED_VALUE"""),"ABC0029")</f>
        <v>ABC0029</v>
      </c>
      <c r="I260" s="23">
        <f t="shared" si="1"/>
        <v>383</v>
      </c>
      <c r="J260" s="23">
        <f>Vlookup(B260,Product_Tab!$A$2:$C$16,3,FALSE)</f>
        <v>652</v>
      </c>
      <c r="K260" s="23">
        <f t="shared" si="2"/>
        <v>249716</v>
      </c>
      <c r="L260" s="24">
        <f>Vlookup(D260,Customer_Tab!$A$2:$C$10,3,FALSE)</f>
        <v>0.15</v>
      </c>
      <c r="M260" s="23">
        <f t="shared" si="3"/>
        <v>37457.4</v>
      </c>
      <c r="N260" s="25">
        <f t="shared" si="4"/>
        <v>212258.6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  <c r="E261" s="23">
        <f>IFERROR(__xludf.DUMMYFUNCTION("SPLIT(C261,""_"")"),420.0)</f>
        <v>420</v>
      </c>
      <c r="F261" s="23" t="str">
        <f>IFERROR(__xludf.DUMMYFUNCTION("""COMPUTED_VALUE"""),"April")</f>
        <v>April</v>
      </c>
      <c r="G261" s="23">
        <f>IFERROR(__xludf.DUMMYFUNCTION("""COMPUTED_VALUE"""),8.0)</f>
        <v>8</v>
      </c>
      <c r="H261" s="23" t="str">
        <f>IFERROR(__xludf.DUMMYFUNCTION("""COMPUTED_VALUE"""),"ABC0030")</f>
        <v>ABC0030</v>
      </c>
      <c r="I261" s="23">
        <f t="shared" si="1"/>
        <v>420</v>
      </c>
      <c r="J261" s="23">
        <f>Vlookup(B261,Product_Tab!$A$2:$C$16,3,FALSE)</f>
        <v>652</v>
      </c>
      <c r="K261" s="23">
        <f t="shared" si="2"/>
        <v>273840</v>
      </c>
      <c r="L261" s="24">
        <f>Vlookup(D261,Customer_Tab!$A$2:$C$10,3,FALSE)</f>
        <v>0.18</v>
      </c>
      <c r="M261" s="23">
        <f t="shared" si="3"/>
        <v>49291.2</v>
      </c>
      <c r="N261" s="25">
        <f t="shared" si="4"/>
        <v>224548.8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  <c r="E262" s="23">
        <f>IFERROR(__xludf.DUMMYFUNCTION("SPLIT(C262,""_"")"),226.0)</f>
        <v>226</v>
      </c>
      <c r="F262" s="23" t="str">
        <f>IFERROR(__xludf.DUMMYFUNCTION("""COMPUTED_VALUE"""),"April")</f>
        <v>April</v>
      </c>
      <c r="G262" s="23">
        <f>IFERROR(__xludf.DUMMYFUNCTION("""COMPUTED_VALUE"""),4.0)</f>
        <v>4</v>
      </c>
      <c r="H262" s="23" t="str">
        <f>IFERROR(__xludf.DUMMYFUNCTION("""COMPUTED_VALUE"""),"ABC0031")</f>
        <v>ABC0031</v>
      </c>
      <c r="I262" s="23">
        <f t="shared" si="1"/>
        <v>226</v>
      </c>
      <c r="J262" s="23">
        <f>Vlookup(B262,Product_Tab!$A$2:$C$16,3,FALSE)</f>
        <v>652</v>
      </c>
      <c r="K262" s="23">
        <f t="shared" si="2"/>
        <v>147352</v>
      </c>
      <c r="L262" s="24">
        <f>Vlookup(D262,Customer_Tab!$A$2:$C$10,3,FALSE)</f>
        <v>0.1</v>
      </c>
      <c r="M262" s="23">
        <f t="shared" si="3"/>
        <v>14735.2</v>
      </c>
      <c r="N262" s="25">
        <f t="shared" si="4"/>
        <v>132616.8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  <c r="E263" s="23">
        <f>IFERROR(__xludf.DUMMYFUNCTION("SPLIT(C263,""_"")"),339.0)</f>
        <v>339</v>
      </c>
      <c r="F263" s="23" t="str">
        <f>IFERROR(__xludf.DUMMYFUNCTION("""COMPUTED_VALUE"""),"April")</f>
        <v>April</v>
      </c>
      <c r="G263" s="23">
        <f>IFERROR(__xludf.DUMMYFUNCTION("""COMPUTED_VALUE"""),16.0)</f>
        <v>16</v>
      </c>
      <c r="H263" s="23" t="str">
        <f>IFERROR(__xludf.DUMMYFUNCTION("""COMPUTED_VALUE"""),"ABC0023")</f>
        <v>ABC0023</v>
      </c>
      <c r="I263" s="23">
        <f t="shared" si="1"/>
        <v>339</v>
      </c>
      <c r="J263" s="23">
        <f>Vlookup(B263,Product_Tab!$A$2:$C$16,3,FALSE)</f>
        <v>378</v>
      </c>
      <c r="K263" s="23">
        <f t="shared" si="2"/>
        <v>128142</v>
      </c>
      <c r="L263" s="24">
        <f>Vlookup(D263,Customer_Tab!$A$2:$C$10,3,FALSE)</f>
        <v>0.15</v>
      </c>
      <c r="M263" s="23">
        <f t="shared" si="3"/>
        <v>19221.3</v>
      </c>
      <c r="N263" s="25">
        <f t="shared" si="4"/>
        <v>108920.7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  <c r="E264" s="23">
        <f>IFERROR(__xludf.DUMMYFUNCTION("SPLIT(C264,""_"")"),322.0)</f>
        <v>322</v>
      </c>
      <c r="F264" s="23" t="str">
        <f>IFERROR(__xludf.DUMMYFUNCTION("""COMPUTED_VALUE"""),"April")</f>
        <v>April</v>
      </c>
      <c r="G264" s="23">
        <f>IFERROR(__xludf.DUMMYFUNCTION("""COMPUTED_VALUE"""),11.0)</f>
        <v>11</v>
      </c>
      <c r="H264" s="23" t="str">
        <f>IFERROR(__xludf.DUMMYFUNCTION("""COMPUTED_VALUE"""),"ABC0024")</f>
        <v>ABC0024</v>
      </c>
      <c r="I264" s="23">
        <f t="shared" si="1"/>
        <v>322</v>
      </c>
      <c r="J264" s="23">
        <f>Vlookup(B264,Product_Tab!$A$2:$C$16,3,FALSE)</f>
        <v>378</v>
      </c>
      <c r="K264" s="23">
        <f t="shared" si="2"/>
        <v>121716</v>
      </c>
      <c r="L264" s="24">
        <f>Vlookup(D264,Customer_Tab!$A$2:$C$10,3,FALSE)</f>
        <v>0.15</v>
      </c>
      <c r="M264" s="23">
        <f t="shared" si="3"/>
        <v>18257.4</v>
      </c>
      <c r="N264" s="25">
        <f t="shared" si="4"/>
        <v>103458.6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  <c r="E265" s="23">
        <f>IFERROR(__xludf.DUMMYFUNCTION("SPLIT(C265,""_"")"),342.0)</f>
        <v>342</v>
      </c>
      <c r="F265" s="23" t="str">
        <f>IFERROR(__xludf.DUMMYFUNCTION("""COMPUTED_VALUE"""),"April")</f>
        <v>April</v>
      </c>
      <c r="G265" s="23">
        <f>IFERROR(__xludf.DUMMYFUNCTION("""COMPUTED_VALUE"""),7.0)</f>
        <v>7</v>
      </c>
      <c r="H265" s="23" t="str">
        <f>IFERROR(__xludf.DUMMYFUNCTION("""COMPUTED_VALUE"""),"ABC0025")</f>
        <v>ABC0025</v>
      </c>
      <c r="I265" s="23">
        <f t="shared" si="1"/>
        <v>342</v>
      </c>
      <c r="J265" s="23">
        <f>Vlookup(B265,Product_Tab!$A$2:$C$16,3,FALSE)</f>
        <v>378</v>
      </c>
      <c r="K265" s="23">
        <f t="shared" si="2"/>
        <v>129276</v>
      </c>
      <c r="L265" s="24">
        <f>Vlookup(D265,Customer_Tab!$A$2:$C$10,3,FALSE)</f>
        <v>0.18</v>
      </c>
      <c r="M265" s="23">
        <f t="shared" si="3"/>
        <v>23269.68</v>
      </c>
      <c r="N265" s="25">
        <f t="shared" si="4"/>
        <v>106006.32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  <c r="E266" s="23">
        <f>IFERROR(__xludf.DUMMYFUNCTION("SPLIT(C266,""_"")"),231.0)</f>
        <v>231</v>
      </c>
      <c r="F266" s="23" t="str">
        <f>IFERROR(__xludf.DUMMYFUNCTION("""COMPUTED_VALUE"""),"April")</f>
        <v>April</v>
      </c>
      <c r="G266" s="23">
        <f>IFERROR(__xludf.DUMMYFUNCTION("""COMPUTED_VALUE"""),5.0)</f>
        <v>5</v>
      </c>
      <c r="H266" s="23" t="str">
        <f>IFERROR(__xludf.DUMMYFUNCTION("""COMPUTED_VALUE"""),"ABC0026")</f>
        <v>ABC0026</v>
      </c>
      <c r="I266" s="23">
        <f t="shared" si="1"/>
        <v>231</v>
      </c>
      <c r="J266" s="23">
        <f>Vlookup(B266,Product_Tab!$A$2:$C$16,3,FALSE)</f>
        <v>378</v>
      </c>
      <c r="K266" s="23">
        <f t="shared" si="2"/>
        <v>87318</v>
      </c>
      <c r="L266" s="24">
        <f>Vlookup(D266,Customer_Tab!$A$2:$C$10,3,FALSE)</f>
        <v>0.18</v>
      </c>
      <c r="M266" s="23">
        <f t="shared" si="3"/>
        <v>15717.24</v>
      </c>
      <c r="N266" s="25">
        <f t="shared" si="4"/>
        <v>71600.76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  <c r="E267" s="23">
        <f>IFERROR(__xludf.DUMMYFUNCTION("SPLIT(C267,""_"")"),431.0)</f>
        <v>431</v>
      </c>
      <c r="F267" s="23" t="str">
        <f>IFERROR(__xludf.DUMMYFUNCTION("""COMPUTED_VALUE"""),"April")</f>
        <v>April</v>
      </c>
      <c r="G267" s="23">
        <f>IFERROR(__xludf.DUMMYFUNCTION("""COMPUTED_VALUE"""),15.0)</f>
        <v>15</v>
      </c>
      <c r="H267" s="23" t="str">
        <f>IFERROR(__xludf.DUMMYFUNCTION("""COMPUTED_VALUE"""),"ABC0027")</f>
        <v>ABC0027</v>
      </c>
      <c r="I267" s="23">
        <f t="shared" si="1"/>
        <v>431</v>
      </c>
      <c r="J267" s="23">
        <f>Vlookup(B267,Product_Tab!$A$2:$C$16,3,FALSE)</f>
        <v>378</v>
      </c>
      <c r="K267" s="23">
        <f t="shared" si="2"/>
        <v>162918</v>
      </c>
      <c r="L267" s="24">
        <f>Vlookup(D267,Customer_Tab!$A$2:$C$10,3,FALSE)</f>
        <v>0.1</v>
      </c>
      <c r="M267" s="23">
        <f t="shared" si="3"/>
        <v>16291.8</v>
      </c>
      <c r="N267" s="25">
        <f t="shared" si="4"/>
        <v>146626.2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  <c r="E268" s="23">
        <f>IFERROR(__xludf.DUMMYFUNCTION("SPLIT(C268,""_"")"),310.0)</f>
        <v>310</v>
      </c>
      <c r="F268" s="23" t="str">
        <f>IFERROR(__xludf.DUMMYFUNCTION("""COMPUTED_VALUE"""),"April")</f>
        <v>April</v>
      </c>
      <c r="G268" s="23">
        <f>IFERROR(__xludf.DUMMYFUNCTION("""COMPUTED_VALUE"""),20.0)</f>
        <v>20</v>
      </c>
      <c r="H268" s="23" t="str">
        <f>IFERROR(__xludf.DUMMYFUNCTION("""COMPUTED_VALUE"""),"ABC0028")</f>
        <v>ABC0028</v>
      </c>
      <c r="I268" s="23">
        <f t="shared" si="1"/>
        <v>310</v>
      </c>
      <c r="J268" s="23">
        <f>Vlookup(B268,Product_Tab!$A$2:$C$16,3,FALSE)</f>
        <v>378</v>
      </c>
      <c r="K268" s="23">
        <f t="shared" si="2"/>
        <v>117180</v>
      </c>
      <c r="L268" s="24">
        <f>Vlookup(D268,Customer_Tab!$A$2:$C$10,3,FALSE)</f>
        <v>0.1</v>
      </c>
      <c r="M268" s="23">
        <f t="shared" si="3"/>
        <v>11718</v>
      </c>
      <c r="N268" s="25">
        <f t="shared" si="4"/>
        <v>105462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  <c r="E269" s="23">
        <f>IFERROR(__xludf.DUMMYFUNCTION("SPLIT(C269,""_"")"),338.0)</f>
        <v>338</v>
      </c>
      <c r="F269" s="23" t="str">
        <f>IFERROR(__xludf.DUMMYFUNCTION("""COMPUTED_VALUE"""),"April")</f>
        <v>April</v>
      </c>
      <c r="G269" s="23">
        <f>IFERROR(__xludf.DUMMYFUNCTION("""COMPUTED_VALUE"""),16.0)</f>
        <v>16</v>
      </c>
      <c r="H269" s="23" t="str">
        <f>IFERROR(__xludf.DUMMYFUNCTION("""COMPUTED_VALUE"""),"ABC0029")</f>
        <v>ABC0029</v>
      </c>
      <c r="I269" s="23">
        <f t="shared" si="1"/>
        <v>338</v>
      </c>
      <c r="J269" s="23">
        <f>Vlookup(B269,Product_Tab!$A$2:$C$16,3,FALSE)</f>
        <v>378</v>
      </c>
      <c r="K269" s="23">
        <f t="shared" si="2"/>
        <v>127764</v>
      </c>
      <c r="L269" s="24">
        <f>Vlookup(D269,Customer_Tab!$A$2:$C$10,3,FALSE)</f>
        <v>0.15</v>
      </c>
      <c r="M269" s="23">
        <f t="shared" si="3"/>
        <v>19164.6</v>
      </c>
      <c r="N269" s="25">
        <f t="shared" si="4"/>
        <v>108599.4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  <c r="E270" s="23">
        <f>IFERROR(__xludf.DUMMYFUNCTION("SPLIT(C270,""_"")"),431.0)</f>
        <v>431</v>
      </c>
      <c r="F270" s="23" t="str">
        <f>IFERROR(__xludf.DUMMYFUNCTION("""COMPUTED_VALUE"""),"April")</f>
        <v>April</v>
      </c>
      <c r="G270" s="23">
        <f>IFERROR(__xludf.DUMMYFUNCTION("""COMPUTED_VALUE"""),17.0)</f>
        <v>17</v>
      </c>
      <c r="H270" s="23" t="str">
        <f>IFERROR(__xludf.DUMMYFUNCTION("""COMPUTED_VALUE"""),"ABC0030")</f>
        <v>ABC0030</v>
      </c>
      <c r="I270" s="23">
        <f t="shared" si="1"/>
        <v>431</v>
      </c>
      <c r="J270" s="23">
        <f>Vlookup(B270,Product_Tab!$A$2:$C$16,3,FALSE)</f>
        <v>378</v>
      </c>
      <c r="K270" s="23">
        <f t="shared" si="2"/>
        <v>162918</v>
      </c>
      <c r="L270" s="24">
        <f>Vlookup(D270,Customer_Tab!$A$2:$C$10,3,FALSE)</f>
        <v>0.18</v>
      </c>
      <c r="M270" s="23">
        <f t="shared" si="3"/>
        <v>29325.24</v>
      </c>
      <c r="N270" s="25">
        <f t="shared" si="4"/>
        <v>133592.76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  <c r="E271" s="23">
        <f>IFERROR(__xludf.DUMMYFUNCTION("SPLIT(C271,""_"")"),474.0)</f>
        <v>474</v>
      </c>
      <c r="F271" s="23" t="str">
        <f>IFERROR(__xludf.DUMMYFUNCTION("""COMPUTED_VALUE"""),"April")</f>
        <v>April</v>
      </c>
      <c r="G271" s="23">
        <f>IFERROR(__xludf.DUMMYFUNCTION("""COMPUTED_VALUE"""),5.0)</f>
        <v>5</v>
      </c>
      <c r="H271" s="23" t="str">
        <f>IFERROR(__xludf.DUMMYFUNCTION("""COMPUTED_VALUE"""),"ABC0031")</f>
        <v>ABC0031</v>
      </c>
      <c r="I271" s="23">
        <f t="shared" si="1"/>
        <v>474</v>
      </c>
      <c r="J271" s="23">
        <f>Vlookup(B271,Product_Tab!$A$2:$C$16,3,FALSE)</f>
        <v>378</v>
      </c>
      <c r="K271" s="23">
        <f t="shared" si="2"/>
        <v>179172</v>
      </c>
      <c r="L271" s="24">
        <f>Vlookup(D271,Customer_Tab!$A$2:$C$10,3,FALSE)</f>
        <v>0.1</v>
      </c>
      <c r="M271" s="23">
        <f t="shared" si="3"/>
        <v>17917.2</v>
      </c>
      <c r="N271" s="25">
        <f t="shared" si="4"/>
        <v>161254.8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  <c r="E272" s="23">
        <f>IFERROR(__xludf.DUMMYFUNCTION("SPLIT(C272,""_"")"),285.0)</f>
        <v>285</v>
      </c>
      <c r="F272" s="23" t="str">
        <f>IFERROR(__xludf.DUMMYFUNCTION("""COMPUTED_VALUE"""),"April")</f>
        <v>April</v>
      </c>
      <c r="G272" s="23">
        <f>IFERROR(__xludf.DUMMYFUNCTION("""COMPUTED_VALUE"""),13.0)</f>
        <v>13</v>
      </c>
      <c r="H272" s="23" t="str">
        <f>IFERROR(__xludf.DUMMYFUNCTION("""COMPUTED_VALUE"""),"ABC0023")</f>
        <v>ABC0023</v>
      </c>
      <c r="I272" s="23">
        <f t="shared" si="1"/>
        <v>285</v>
      </c>
      <c r="J272" s="23">
        <f>Vlookup(B272,Product_Tab!$A$2:$C$16,3,FALSE)</f>
        <v>378</v>
      </c>
      <c r="K272" s="23">
        <f t="shared" si="2"/>
        <v>107730</v>
      </c>
      <c r="L272" s="24">
        <f>Vlookup(D272,Customer_Tab!$A$2:$C$10,3,FALSE)</f>
        <v>0.15</v>
      </c>
      <c r="M272" s="23">
        <f t="shared" si="3"/>
        <v>16159.5</v>
      </c>
      <c r="N272" s="25">
        <f t="shared" si="4"/>
        <v>91570.5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  <c r="E273" s="23">
        <f>IFERROR(__xludf.DUMMYFUNCTION("SPLIT(C273,""_"")"),450.0)</f>
        <v>450</v>
      </c>
      <c r="F273" s="23" t="str">
        <f>IFERROR(__xludf.DUMMYFUNCTION("""COMPUTED_VALUE"""),"April")</f>
        <v>April</v>
      </c>
      <c r="G273" s="23">
        <f>IFERROR(__xludf.DUMMYFUNCTION("""COMPUTED_VALUE"""),20.0)</f>
        <v>20</v>
      </c>
      <c r="H273" s="23" t="str">
        <f>IFERROR(__xludf.DUMMYFUNCTION("""COMPUTED_VALUE"""),"ABC0024")</f>
        <v>ABC0024</v>
      </c>
      <c r="I273" s="23">
        <f t="shared" si="1"/>
        <v>450</v>
      </c>
      <c r="J273" s="23">
        <f>Vlookup(B273,Product_Tab!$A$2:$C$16,3,FALSE)</f>
        <v>378</v>
      </c>
      <c r="K273" s="23">
        <f t="shared" si="2"/>
        <v>170100</v>
      </c>
      <c r="L273" s="24">
        <f>Vlookup(D273,Customer_Tab!$A$2:$C$10,3,FALSE)</f>
        <v>0.18</v>
      </c>
      <c r="M273" s="23">
        <f t="shared" si="3"/>
        <v>30618</v>
      </c>
      <c r="N273" s="25">
        <f t="shared" si="4"/>
        <v>139482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  <c r="E274" s="23">
        <f>IFERROR(__xludf.DUMMYFUNCTION("SPLIT(C274,""_"")"),256.0)</f>
        <v>256</v>
      </c>
      <c r="F274" s="23" t="str">
        <f>IFERROR(__xludf.DUMMYFUNCTION("""COMPUTED_VALUE"""),"April")</f>
        <v>April</v>
      </c>
      <c r="G274" s="23">
        <f>IFERROR(__xludf.DUMMYFUNCTION("""COMPUTED_VALUE"""),8.0)</f>
        <v>8</v>
      </c>
      <c r="H274" s="23" t="str">
        <f>IFERROR(__xludf.DUMMYFUNCTION("""COMPUTED_VALUE"""),"ABC0025")</f>
        <v>ABC0025</v>
      </c>
      <c r="I274" s="23">
        <f t="shared" si="1"/>
        <v>256</v>
      </c>
      <c r="J274" s="23">
        <f>Vlookup(B274,Product_Tab!$A$2:$C$16,3,FALSE)</f>
        <v>378</v>
      </c>
      <c r="K274" s="23">
        <f t="shared" si="2"/>
        <v>96768</v>
      </c>
      <c r="L274" s="24">
        <f>Vlookup(D274,Customer_Tab!$A$2:$C$10,3,FALSE)</f>
        <v>0.1</v>
      </c>
      <c r="M274" s="23">
        <f t="shared" si="3"/>
        <v>9676.8</v>
      </c>
      <c r="N274" s="25">
        <f t="shared" si="4"/>
        <v>87091.2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  <c r="E275" s="23">
        <f>IFERROR(__xludf.DUMMYFUNCTION("SPLIT(C275,""_"")"),438.0)</f>
        <v>438</v>
      </c>
      <c r="F275" s="23" t="str">
        <f>IFERROR(__xludf.DUMMYFUNCTION("""COMPUTED_VALUE"""),"April")</f>
        <v>April</v>
      </c>
      <c r="G275" s="23">
        <f>IFERROR(__xludf.DUMMYFUNCTION("""COMPUTED_VALUE"""),17.0)</f>
        <v>17</v>
      </c>
      <c r="H275" s="23" t="str">
        <f>IFERROR(__xludf.DUMMYFUNCTION("""COMPUTED_VALUE"""),"ABC0026")</f>
        <v>ABC0026</v>
      </c>
      <c r="I275" s="23">
        <f t="shared" si="1"/>
        <v>438</v>
      </c>
      <c r="J275" s="23">
        <f>Vlookup(B275,Product_Tab!$A$2:$C$16,3,FALSE)</f>
        <v>378</v>
      </c>
      <c r="K275" s="23">
        <f t="shared" si="2"/>
        <v>165564</v>
      </c>
      <c r="L275" s="24">
        <f>Vlookup(D275,Customer_Tab!$A$2:$C$10,3,FALSE)</f>
        <v>0.18</v>
      </c>
      <c r="M275" s="23">
        <f t="shared" si="3"/>
        <v>29801.52</v>
      </c>
      <c r="N275" s="25">
        <f t="shared" si="4"/>
        <v>135762.48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  <c r="E276" s="23">
        <f>IFERROR(__xludf.DUMMYFUNCTION("SPLIT(C276,""_"")"),385.0)</f>
        <v>385</v>
      </c>
      <c r="F276" s="23" t="str">
        <f>IFERROR(__xludf.DUMMYFUNCTION("""COMPUTED_VALUE"""),"April")</f>
        <v>April</v>
      </c>
      <c r="G276" s="23">
        <f>IFERROR(__xludf.DUMMYFUNCTION("""COMPUTED_VALUE"""),8.0)</f>
        <v>8</v>
      </c>
      <c r="H276" s="23" t="str">
        <f>IFERROR(__xludf.DUMMYFUNCTION("""COMPUTED_VALUE"""),"ABC0023")</f>
        <v>ABC0023</v>
      </c>
      <c r="I276" s="23">
        <f t="shared" si="1"/>
        <v>385</v>
      </c>
      <c r="J276" s="23">
        <f>Vlookup(B276,Product_Tab!$A$2:$C$16,3,FALSE)</f>
        <v>545</v>
      </c>
      <c r="K276" s="23">
        <f t="shared" si="2"/>
        <v>209825</v>
      </c>
      <c r="L276" s="24">
        <f>Vlookup(D276,Customer_Tab!$A$2:$C$10,3,FALSE)</f>
        <v>0.15</v>
      </c>
      <c r="M276" s="23">
        <f t="shared" si="3"/>
        <v>31473.75</v>
      </c>
      <c r="N276" s="25">
        <f t="shared" si="4"/>
        <v>178351.25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  <c r="E277" s="23">
        <f>IFERROR(__xludf.DUMMYFUNCTION("SPLIT(C277,""_"")"),483.0)</f>
        <v>483</v>
      </c>
      <c r="F277" s="23" t="str">
        <f>IFERROR(__xludf.DUMMYFUNCTION("""COMPUTED_VALUE"""),"April")</f>
        <v>April</v>
      </c>
      <c r="G277" s="23">
        <f>IFERROR(__xludf.DUMMYFUNCTION("""COMPUTED_VALUE"""),27.0)</f>
        <v>27</v>
      </c>
      <c r="H277" s="23" t="str">
        <f>IFERROR(__xludf.DUMMYFUNCTION("""COMPUTED_VALUE"""),"ABC0024")</f>
        <v>ABC0024</v>
      </c>
      <c r="I277" s="23">
        <f t="shared" si="1"/>
        <v>483</v>
      </c>
      <c r="J277" s="23">
        <f>Vlookup(B277,Product_Tab!$A$2:$C$16,3,FALSE)</f>
        <v>545</v>
      </c>
      <c r="K277" s="23">
        <f t="shared" si="2"/>
        <v>263235</v>
      </c>
      <c r="L277" s="24">
        <f>Vlookup(D277,Customer_Tab!$A$2:$C$10,3,FALSE)</f>
        <v>0.15</v>
      </c>
      <c r="M277" s="23">
        <f t="shared" si="3"/>
        <v>39485.25</v>
      </c>
      <c r="N277" s="25">
        <f t="shared" si="4"/>
        <v>223749.75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  <c r="E278" s="23">
        <f>IFERROR(__xludf.DUMMYFUNCTION("SPLIT(C278,""_"")"),313.0)</f>
        <v>313</v>
      </c>
      <c r="F278" s="23" t="str">
        <f>IFERROR(__xludf.DUMMYFUNCTION("""COMPUTED_VALUE"""),"April")</f>
        <v>April</v>
      </c>
      <c r="G278" s="23">
        <f>IFERROR(__xludf.DUMMYFUNCTION("""COMPUTED_VALUE"""),28.0)</f>
        <v>28</v>
      </c>
      <c r="H278" s="23" t="str">
        <f>IFERROR(__xludf.DUMMYFUNCTION("""COMPUTED_VALUE"""),"ABC0025")</f>
        <v>ABC0025</v>
      </c>
      <c r="I278" s="23">
        <f t="shared" si="1"/>
        <v>313</v>
      </c>
      <c r="J278" s="23">
        <f>Vlookup(B278,Product_Tab!$A$2:$C$16,3,FALSE)</f>
        <v>545</v>
      </c>
      <c r="K278" s="23">
        <f t="shared" si="2"/>
        <v>170585</v>
      </c>
      <c r="L278" s="24">
        <f>Vlookup(D278,Customer_Tab!$A$2:$C$10,3,FALSE)</f>
        <v>0.18</v>
      </c>
      <c r="M278" s="23">
        <f t="shared" si="3"/>
        <v>30705.3</v>
      </c>
      <c r="N278" s="25">
        <f t="shared" si="4"/>
        <v>139879.7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  <c r="E279" s="23">
        <f>IFERROR(__xludf.DUMMYFUNCTION("SPLIT(C279,""_"")"),399.0)</f>
        <v>399</v>
      </c>
      <c r="F279" s="23" t="str">
        <f>IFERROR(__xludf.DUMMYFUNCTION("""COMPUTED_VALUE"""),"April")</f>
        <v>April</v>
      </c>
      <c r="G279" s="23">
        <f>IFERROR(__xludf.DUMMYFUNCTION("""COMPUTED_VALUE"""),26.0)</f>
        <v>26</v>
      </c>
      <c r="H279" s="23" t="str">
        <f>IFERROR(__xludf.DUMMYFUNCTION("""COMPUTED_VALUE"""),"ABC0026")</f>
        <v>ABC0026</v>
      </c>
      <c r="I279" s="23">
        <f t="shared" si="1"/>
        <v>399</v>
      </c>
      <c r="J279" s="23">
        <f>Vlookup(B279,Product_Tab!$A$2:$C$16,3,FALSE)</f>
        <v>545</v>
      </c>
      <c r="K279" s="23">
        <f t="shared" si="2"/>
        <v>217455</v>
      </c>
      <c r="L279" s="24">
        <f>Vlookup(D279,Customer_Tab!$A$2:$C$10,3,FALSE)</f>
        <v>0.18</v>
      </c>
      <c r="M279" s="23">
        <f t="shared" si="3"/>
        <v>39141.9</v>
      </c>
      <c r="N279" s="25">
        <f t="shared" si="4"/>
        <v>178313.1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  <c r="E280" s="23">
        <f>IFERROR(__xludf.DUMMYFUNCTION("SPLIT(C280,""_"")"),280.0)</f>
        <v>280</v>
      </c>
      <c r="F280" s="23" t="str">
        <f>IFERROR(__xludf.DUMMYFUNCTION("""COMPUTED_VALUE"""),"April")</f>
        <v>April</v>
      </c>
      <c r="G280" s="23">
        <f>IFERROR(__xludf.DUMMYFUNCTION("""COMPUTED_VALUE"""),10.0)</f>
        <v>10</v>
      </c>
      <c r="H280" s="23" t="str">
        <f>IFERROR(__xludf.DUMMYFUNCTION("""COMPUTED_VALUE"""),"ABC0027")</f>
        <v>ABC0027</v>
      </c>
      <c r="I280" s="23">
        <f t="shared" si="1"/>
        <v>280</v>
      </c>
      <c r="J280" s="23">
        <f>Vlookup(B280,Product_Tab!$A$2:$C$16,3,FALSE)</f>
        <v>545</v>
      </c>
      <c r="K280" s="23">
        <f t="shared" si="2"/>
        <v>152600</v>
      </c>
      <c r="L280" s="24">
        <f>Vlookup(D280,Customer_Tab!$A$2:$C$10,3,FALSE)</f>
        <v>0.1</v>
      </c>
      <c r="M280" s="23">
        <f t="shared" si="3"/>
        <v>15260</v>
      </c>
      <c r="N280" s="25">
        <f t="shared" si="4"/>
        <v>137340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  <c r="E281" s="23">
        <f>IFERROR(__xludf.DUMMYFUNCTION("SPLIT(C281,""_"")"),291.0)</f>
        <v>291</v>
      </c>
      <c r="F281" s="23" t="str">
        <f>IFERROR(__xludf.DUMMYFUNCTION("""COMPUTED_VALUE"""),"April")</f>
        <v>April</v>
      </c>
      <c r="G281" s="23">
        <f>IFERROR(__xludf.DUMMYFUNCTION("""COMPUTED_VALUE"""),28.0)</f>
        <v>28</v>
      </c>
      <c r="H281" s="23" t="str">
        <f>IFERROR(__xludf.DUMMYFUNCTION("""COMPUTED_VALUE"""),"ABC0028")</f>
        <v>ABC0028</v>
      </c>
      <c r="I281" s="23">
        <f t="shared" si="1"/>
        <v>291</v>
      </c>
      <c r="J281" s="23">
        <f>Vlookup(B281,Product_Tab!$A$2:$C$16,3,FALSE)</f>
        <v>545</v>
      </c>
      <c r="K281" s="23">
        <f t="shared" si="2"/>
        <v>158595</v>
      </c>
      <c r="L281" s="24">
        <f>Vlookup(D281,Customer_Tab!$A$2:$C$10,3,FALSE)</f>
        <v>0.1</v>
      </c>
      <c r="M281" s="23">
        <f t="shared" si="3"/>
        <v>15859.5</v>
      </c>
      <c r="N281" s="25">
        <f t="shared" si="4"/>
        <v>142735.5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  <c r="E282" s="23">
        <f>IFERROR(__xludf.DUMMYFUNCTION("SPLIT(C282,""_"")"),310.0)</f>
        <v>310</v>
      </c>
      <c r="F282" s="23" t="str">
        <f>IFERROR(__xludf.DUMMYFUNCTION("""COMPUTED_VALUE"""),"April")</f>
        <v>April</v>
      </c>
      <c r="G282" s="23">
        <f>IFERROR(__xludf.DUMMYFUNCTION("""COMPUTED_VALUE"""),30.0)</f>
        <v>30</v>
      </c>
      <c r="H282" s="23" t="str">
        <f>IFERROR(__xludf.DUMMYFUNCTION("""COMPUTED_VALUE"""),"ABC0029")</f>
        <v>ABC0029</v>
      </c>
      <c r="I282" s="23">
        <f t="shared" si="1"/>
        <v>310</v>
      </c>
      <c r="J282" s="23">
        <f>Vlookup(B282,Product_Tab!$A$2:$C$16,3,FALSE)</f>
        <v>545</v>
      </c>
      <c r="K282" s="23">
        <f t="shared" si="2"/>
        <v>168950</v>
      </c>
      <c r="L282" s="24">
        <f>Vlookup(D282,Customer_Tab!$A$2:$C$10,3,FALSE)</f>
        <v>0.15</v>
      </c>
      <c r="M282" s="23">
        <f t="shared" si="3"/>
        <v>25342.5</v>
      </c>
      <c r="N282" s="25">
        <f t="shared" si="4"/>
        <v>143607.5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  <c r="E283" s="23">
        <f>IFERROR(__xludf.DUMMYFUNCTION("SPLIT(C283,""_"")"),247.0)</f>
        <v>247</v>
      </c>
      <c r="F283" s="23" t="str">
        <f>IFERROR(__xludf.DUMMYFUNCTION("""COMPUTED_VALUE"""),"April")</f>
        <v>April</v>
      </c>
      <c r="G283" s="23">
        <f>IFERROR(__xludf.DUMMYFUNCTION("""COMPUTED_VALUE"""),24.0)</f>
        <v>24</v>
      </c>
      <c r="H283" s="23" t="str">
        <f>IFERROR(__xludf.DUMMYFUNCTION("""COMPUTED_VALUE"""),"ABC0030")</f>
        <v>ABC0030</v>
      </c>
      <c r="I283" s="23">
        <f t="shared" si="1"/>
        <v>247</v>
      </c>
      <c r="J283" s="23">
        <f>Vlookup(B283,Product_Tab!$A$2:$C$16,3,FALSE)</f>
        <v>545</v>
      </c>
      <c r="K283" s="23">
        <f t="shared" si="2"/>
        <v>134615</v>
      </c>
      <c r="L283" s="24">
        <f>Vlookup(D283,Customer_Tab!$A$2:$C$10,3,FALSE)</f>
        <v>0.18</v>
      </c>
      <c r="M283" s="23">
        <f t="shared" si="3"/>
        <v>24230.7</v>
      </c>
      <c r="N283" s="25">
        <f t="shared" si="4"/>
        <v>110384.3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  <c r="E284" s="23">
        <f>IFERROR(__xludf.DUMMYFUNCTION("SPLIT(C284,""_"")"),240.0)</f>
        <v>240</v>
      </c>
      <c r="F284" s="23" t="str">
        <f>IFERROR(__xludf.DUMMYFUNCTION("""COMPUTED_VALUE"""),"April")</f>
        <v>April</v>
      </c>
      <c r="G284" s="23">
        <f>IFERROR(__xludf.DUMMYFUNCTION("""COMPUTED_VALUE"""),10.0)</f>
        <v>10</v>
      </c>
      <c r="H284" s="23" t="str">
        <f>IFERROR(__xludf.DUMMYFUNCTION("""COMPUTED_VALUE"""),"ABC0031")</f>
        <v>ABC0031</v>
      </c>
      <c r="I284" s="23">
        <f t="shared" si="1"/>
        <v>240</v>
      </c>
      <c r="J284" s="23">
        <f>Vlookup(B284,Product_Tab!$A$2:$C$16,3,FALSE)</f>
        <v>545</v>
      </c>
      <c r="K284" s="23">
        <f t="shared" si="2"/>
        <v>130800</v>
      </c>
      <c r="L284" s="24">
        <f>Vlookup(D284,Customer_Tab!$A$2:$C$10,3,FALSE)</f>
        <v>0.1</v>
      </c>
      <c r="M284" s="23">
        <f t="shared" si="3"/>
        <v>13080</v>
      </c>
      <c r="N284" s="25">
        <f t="shared" si="4"/>
        <v>117720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  <c r="E285" s="23">
        <f>IFERROR(__xludf.DUMMYFUNCTION("SPLIT(C285,""_"")"),450.0)</f>
        <v>450</v>
      </c>
      <c r="F285" s="23" t="str">
        <f>IFERROR(__xludf.DUMMYFUNCTION("""COMPUTED_VALUE"""),"April")</f>
        <v>April</v>
      </c>
      <c r="G285" s="23">
        <f>IFERROR(__xludf.DUMMYFUNCTION("""COMPUTED_VALUE"""),2.0)</f>
        <v>2</v>
      </c>
      <c r="H285" s="23" t="str">
        <f>IFERROR(__xludf.DUMMYFUNCTION("""COMPUTED_VALUE"""),"ABC0029")</f>
        <v>ABC0029</v>
      </c>
      <c r="I285" s="23">
        <f t="shared" si="1"/>
        <v>450</v>
      </c>
      <c r="J285" s="23">
        <f>Vlookup(B285,Product_Tab!$A$2:$C$16,3,FALSE)</f>
        <v>545</v>
      </c>
      <c r="K285" s="23">
        <f t="shared" si="2"/>
        <v>245250</v>
      </c>
      <c r="L285" s="24">
        <f>Vlookup(D285,Customer_Tab!$A$2:$C$10,3,FALSE)</f>
        <v>0.15</v>
      </c>
      <c r="M285" s="23">
        <f t="shared" si="3"/>
        <v>36787.5</v>
      </c>
      <c r="N285" s="25">
        <f t="shared" si="4"/>
        <v>208462.5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  <c r="E286" s="23">
        <f>IFERROR(__xludf.DUMMYFUNCTION("SPLIT(C286,""_"")"),305.0)</f>
        <v>305</v>
      </c>
      <c r="F286" s="23" t="str">
        <f>IFERROR(__xludf.DUMMYFUNCTION("""COMPUTED_VALUE"""),"April")</f>
        <v>April</v>
      </c>
      <c r="G286" s="23">
        <f>IFERROR(__xludf.DUMMYFUNCTION("""COMPUTED_VALUE"""),8.0)</f>
        <v>8</v>
      </c>
      <c r="H286" s="23" t="str">
        <f>IFERROR(__xludf.DUMMYFUNCTION("""COMPUTED_VALUE"""),"ABC0030")</f>
        <v>ABC0030</v>
      </c>
      <c r="I286" s="23">
        <f t="shared" si="1"/>
        <v>305</v>
      </c>
      <c r="J286" s="23">
        <f>Vlookup(B286,Product_Tab!$A$2:$C$16,3,FALSE)</f>
        <v>545</v>
      </c>
      <c r="K286" s="23">
        <f t="shared" si="2"/>
        <v>166225</v>
      </c>
      <c r="L286" s="24">
        <f>Vlookup(D286,Customer_Tab!$A$2:$C$10,3,FALSE)</f>
        <v>0.15</v>
      </c>
      <c r="M286" s="23">
        <f t="shared" si="3"/>
        <v>24933.75</v>
      </c>
      <c r="N286" s="25">
        <f t="shared" si="4"/>
        <v>141291.25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  <c r="E287" s="23">
        <f>IFERROR(__xludf.DUMMYFUNCTION("SPLIT(C287,""_"")"),264.0)</f>
        <v>264</v>
      </c>
      <c r="F287" s="23" t="str">
        <f>IFERROR(__xludf.DUMMYFUNCTION("""COMPUTED_VALUE"""),"April")</f>
        <v>April</v>
      </c>
      <c r="G287" s="23">
        <f>IFERROR(__xludf.DUMMYFUNCTION("""COMPUTED_VALUE"""),11.0)</f>
        <v>11</v>
      </c>
      <c r="H287" s="23" t="str">
        <f>IFERROR(__xludf.DUMMYFUNCTION("""COMPUTED_VALUE"""),"ABC0031")</f>
        <v>ABC0031</v>
      </c>
      <c r="I287" s="23">
        <f t="shared" si="1"/>
        <v>264</v>
      </c>
      <c r="J287" s="23">
        <f>Vlookup(B287,Product_Tab!$A$2:$C$16,3,FALSE)</f>
        <v>545</v>
      </c>
      <c r="K287" s="23">
        <f t="shared" si="2"/>
        <v>143880</v>
      </c>
      <c r="L287" s="24">
        <f>Vlookup(D287,Customer_Tab!$A$2:$C$10,3,FALSE)</f>
        <v>0.18</v>
      </c>
      <c r="M287" s="23">
        <f t="shared" si="3"/>
        <v>25898.4</v>
      </c>
      <c r="N287" s="25">
        <f t="shared" si="4"/>
        <v>117981.6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  <c r="E288" s="23">
        <f>IFERROR(__xludf.DUMMYFUNCTION("SPLIT(C288,""_"")"),484.0)</f>
        <v>484</v>
      </c>
      <c r="F288" s="23" t="str">
        <f>IFERROR(__xludf.DUMMYFUNCTION("""COMPUTED_VALUE"""),"April")</f>
        <v>April</v>
      </c>
      <c r="G288" s="23">
        <f>IFERROR(__xludf.DUMMYFUNCTION("""COMPUTED_VALUE"""),27.0)</f>
        <v>27</v>
      </c>
      <c r="H288" s="23" t="str">
        <f>IFERROR(__xludf.DUMMYFUNCTION("""COMPUTED_VALUE"""),"ABC0027")</f>
        <v>ABC0027</v>
      </c>
      <c r="I288" s="23">
        <f t="shared" si="1"/>
        <v>484</v>
      </c>
      <c r="J288" s="23">
        <f>Vlookup(B288,Product_Tab!$A$2:$C$16,3,FALSE)</f>
        <v>545</v>
      </c>
      <c r="K288" s="23">
        <f t="shared" si="2"/>
        <v>263780</v>
      </c>
      <c r="L288" s="24">
        <f>Vlookup(D288,Customer_Tab!$A$2:$C$10,3,FALSE)</f>
        <v>0.18</v>
      </c>
      <c r="M288" s="23">
        <f t="shared" si="3"/>
        <v>47480.4</v>
      </c>
      <c r="N288" s="25">
        <f t="shared" si="4"/>
        <v>216299.6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  <c r="E289" s="23">
        <f>IFERROR(__xludf.DUMMYFUNCTION("SPLIT(C289,""_"")"),440.0)</f>
        <v>440</v>
      </c>
      <c r="F289" s="23" t="str">
        <f>IFERROR(__xludf.DUMMYFUNCTION("""COMPUTED_VALUE"""),"April")</f>
        <v>April</v>
      </c>
      <c r="G289" s="23">
        <f>IFERROR(__xludf.DUMMYFUNCTION("""COMPUTED_VALUE"""),27.0)</f>
        <v>27</v>
      </c>
      <c r="H289" s="23" t="str">
        <f>IFERROR(__xludf.DUMMYFUNCTION("""COMPUTED_VALUE"""),"ABC0026")</f>
        <v>ABC0026</v>
      </c>
      <c r="I289" s="23">
        <f t="shared" si="1"/>
        <v>440</v>
      </c>
      <c r="J289" s="23">
        <f>Vlookup(B289,Product_Tab!$A$2:$C$16,3,FALSE)</f>
        <v>545</v>
      </c>
      <c r="K289" s="23">
        <f t="shared" si="2"/>
        <v>239800</v>
      </c>
      <c r="L289" s="24">
        <f>Vlookup(D289,Customer_Tab!$A$2:$C$10,3,FALSE)</f>
        <v>0.1</v>
      </c>
      <c r="M289" s="23">
        <f t="shared" si="3"/>
        <v>23980</v>
      </c>
      <c r="N289" s="25">
        <f t="shared" si="4"/>
        <v>215820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  <c r="E290" s="23">
        <f>IFERROR(__xludf.DUMMYFUNCTION("SPLIT(C290,""_"")"),226.0)</f>
        <v>226</v>
      </c>
      <c r="F290" s="23" t="str">
        <f>IFERROR(__xludf.DUMMYFUNCTION("""COMPUTED_VALUE"""),"April")</f>
        <v>April</v>
      </c>
      <c r="G290" s="23">
        <f>IFERROR(__xludf.DUMMYFUNCTION("""COMPUTED_VALUE"""),9.0)</f>
        <v>9</v>
      </c>
      <c r="H290" s="23" t="str">
        <f>IFERROR(__xludf.DUMMYFUNCTION("""COMPUTED_VALUE"""),"ABC0023")</f>
        <v>ABC0023</v>
      </c>
      <c r="I290" s="23">
        <f t="shared" si="1"/>
        <v>226</v>
      </c>
      <c r="J290" s="23">
        <f>Vlookup(B290,Product_Tab!$A$2:$C$16,3,FALSE)</f>
        <v>545</v>
      </c>
      <c r="K290" s="23">
        <f t="shared" si="2"/>
        <v>123170</v>
      </c>
      <c r="L290" s="24">
        <f>Vlookup(D290,Customer_Tab!$A$2:$C$10,3,FALSE)</f>
        <v>0.15</v>
      </c>
      <c r="M290" s="23">
        <f t="shared" si="3"/>
        <v>18475.5</v>
      </c>
      <c r="N290" s="25">
        <f t="shared" si="4"/>
        <v>104694.5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  <c r="E291" s="23">
        <f>IFERROR(__xludf.DUMMYFUNCTION("SPLIT(C291,""_"")"),201.0)</f>
        <v>201</v>
      </c>
      <c r="F291" s="23" t="str">
        <f>IFERROR(__xludf.DUMMYFUNCTION("""COMPUTED_VALUE"""),"April")</f>
        <v>April</v>
      </c>
      <c r="G291" s="23">
        <f>IFERROR(__xludf.DUMMYFUNCTION("""COMPUTED_VALUE"""),26.0)</f>
        <v>26</v>
      </c>
      <c r="H291" s="23" t="str">
        <f>IFERROR(__xludf.DUMMYFUNCTION("""COMPUTED_VALUE"""),"ABC0023")</f>
        <v>ABC0023</v>
      </c>
      <c r="I291" s="23">
        <f t="shared" si="1"/>
        <v>201</v>
      </c>
      <c r="J291" s="23">
        <f>Vlookup(B291,Product_Tab!$A$2:$C$16,3,FALSE)</f>
        <v>203</v>
      </c>
      <c r="K291" s="23">
        <f t="shared" si="2"/>
        <v>40803</v>
      </c>
      <c r="L291" s="24">
        <f>Vlookup(D291,Customer_Tab!$A$2:$C$10,3,FALSE)</f>
        <v>0.15</v>
      </c>
      <c r="M291" s="23">
        <f t="shared" si="3"/>
        <v>6120.45</v>
      </c>
      <c r="N291" s="25">
        <f t="shared" si="4"/>
        <v>34682.55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  <c r="E292" s="23">
        <f>IFERROR(__xludf.DUMMYFUNCTION("SPLIT(C292,""_"")"),230.0)</f>
        <v>230</v>
      </c>
      <c r="F292" s="23" t="str">
        <f>IFERROR(__xludf.DUMMYFUNCTION("""COMPUTED_VALUE"""),"April")</f>
        <v>April</v>
      </c>
      <c r="G292" s="23">
        <f>IFERROR(__xludf.DUMMYFUNCTION("""COMPUTED_VALUE"""),10.0)</f>
        <v>10</v>
      </c>
      <c r="H292" s="23" t="str">
        <f>IFERROR(__xludf.DUMMYFUNCTION("""COMPUTED_VALUE"""),"ABC0023")</f>
        <v>ABC0023</v>
      </c>
      <c r="I292" s="23">
        <f t="shared" si="1"/>
        <v>230</v>
      </c>
      <c r="J292" s="23">
        <f>Vlookup(B292,Product_Tab!$A$2:$C$16,3,FALSE)</f>
        <v>131</v>
      </c>
      <c r="K292" s="23">
        <f t="shared" si="2"/>
        <v>30130</v>
      </c>
      <c r="L292" s="24">
        <f>Vlookup(D292,Customer_Tab!$A$2:$C$10,3,FALSE)</f>
        <v>0.18</v>
      </c>
      <c r="M292" s="23">
        <f t="shared" si="3"/>
        <v>5423.4</v>
      </c>
      <c r="N292" s="25">
        <f t="shared" si="4"/>
        <v>24706.6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  <c r="E293" s="23">
        <f>IFERROR(__xludf.DUMMYFUNCTION("SPLIT(C293,""_"")"),403.0)</f>
        <v>403</v>
      </c>
      <c r="F293" s="23" t="str">
        <f>IFERROR(__xludf.DUMMYFUNCTION("""COMPUTED_VALUE"""),"April")</f>
        <v>April</v>
      </c>
      <c r="G293" s="23">
        <f>IFERROR(__xludf.DUMMYFUNCTION("""COMPUTED_VALUE"""),19.0)</f>
        <v>19</v>
      </c>
      <c r="H293" s="23" t="str">
        <f>IFERROR(__xludf.DUMMYFUNCTION("""COMPUTED_VALUE"""),"ABC0023")</f>
        <v>ABC0023</v>
      </c>
      <c r="I293" s="23">
        <f t="shared" si="1"/>
        <v>403</v>
      </c>
      <c r="J293" s="23">
        <f>Vlookup(B293,Product_Tab!$A$2:$C$16,3,FALSE)</f>
        <v>50</v>
      </c>
      <c r="K293" s="23">
        <f t="shared" si="2"/>
        <v>20150</v>
      </c>
      <c r="L293" s="24">
        <f>Vlookup(D293,Customer_Tab!$A$2:$C$10,3,FALSE)</f>
        <v>0.18</v>
      </c>
      <c r="M293" s="23">
        <f t="shared" si="3"/>
        <v>3627</v>
      </c>
      <c r="N293" s="25">
        <f t="shared" si="4"/>
        <v>16523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  <c r="E294" s="23">
        <f>IFERROR(__xludf.DUMMYFUNCTION("SPLIT(C294,""_"")"),235.0)</f>
        <v>235</v>
      </c>
      <c r="F294" s="23" t="str">
        <f>IFERROR(__xludf.DUMMYFUNCTION("""COMPUTED_VALUE"""),"April")</f>
        <v>April</v>
      </c>
      <c r="G294" s="23">
        <f>IFERROR(__xludf.DUMMYFUNCTION("""COMPUTED_VALUE"""),22.0)</f>
        <v>22</v>
      </c>
      <c r="H294" s="23" t="str">
        <f>IFERROR(__xludf.DUMMYFUNCTION("""COMPUTED_VALUE"""),"ABC0023")</f>
        <v>ABC0023</v>
      </c>
      <c r="I294" s="23">
        <f t="shared" si="1"/>
        <v>235</v>
      </c>
      <c r="J294" s="23">
        <f>Vlookup(B294,Product_Tab!$A$2:$C$16,3,FALSE)</f>
        <v>76</v>
      </c>
      <c r="K294" s="23">
        <f t="shared" si="2"/>
        <v>17860</v>
      </c>
      <c r="L294" s="24">
        <f>Vlookup(D294,Customer_Tab!$A$2:$C$10,3,FALSE)</f>
        <v>0.1</v>
      </c>
      <c r="M294" s="23">
        <f t="shared" si="3"/>
        <v>1786</v>
      </c>
      <c r="N294" s="25">
        <f t="shared" si="4"/>
        <v>16074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  <c r="E295" s="23">
        <f>IFERROR(__xludf.DUMMYFUNCTION("SPLIT(C295,""_"")"),223.0)</f>
        <v>223</v>
      </c>
      <c r="F295" s="23" t="str">
        <f>IFERROR(__xludf.DUMMYFUNCTION("""COMPUTED_VALUE"""),"April")</f>
        <v>April</v>
      </c>
      <c r="G295" s="23">
        <f>IFERROR(__xludf.DUMMYFUNCTION("""COMPUTED_VALUE"""),4.0)</f>
        <v>4</v>
      </c>
      <c r="H295" s="23" t="str">
        <f>IFERROR(__xludf.DUMMYFUNCTION("""COMPUTED_VALUE"""),"ABC0023")</f>
        <v>ABC0023</v>
      </c>
      <c r="I295" s="23">
        <f t="shared" si="1"/>
        <v>223</v>
      </c>
      <c r="J295" s="23">
        <f>Vlookup(B295,Product_Tab!$A$2:$C$16,3,FALSE)</f>
        <v>659</v>
      </c>
      <c r="K295" s="23">
        <f t="shared" si="2"/>
        <v>146957</v>
      </c>
      <c r="L295" s="24">
        <f>Vlookup(D295,Customer_Tab!$A$2:$C$10,3,FALSE)</f>
        <v>0.1</v>
      </c>
      <c r="M295" s="23">
        <f t="shared" si="3"/>
        <v>14695.7</v>
      </c>
      <c r="N295" s="25">
        <f t="shared" si="4"/>
        <v>132261.3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  <c r="E296" s="23">
        <f>IFERROR(__xludf.DUMMYFUNCTION("SPLIT(C296,""_"")"),438.0)</f>
        <v>438</v>
      </c>
      <c r="F296" s="23" t="str">
        <f>IFERROR(__xludf.DUMMYFUNCTION("""COMPUTED_VALUE"""),"April")</f>
        <v>April</v>
      </c>
      <c r="G296" s="23">
        <f>IFERROR(__xludf.DUMMYFUNCTION("""COMPUTED_VALUE"""),5.0)</f>
        <v>5</v>
      </c>
      <c r="H296" s="23" t="str">
        <f>IFERROR(__xludf.DUMMYFUNCTION("""COMPUTED_VALUE"""),"ABC0023")</f>
        <v>ABC0023</v>
      </c>
      <c r="I296" s="23">
        <f t="shared" si="1"/>
        <v>438</v>
      </c>
      <c r="J296" s="23">
        <f>Vlookup(B296,Product_Tab!$A$2:$C$16,3,FALSE)</f>
        <v>286</v>
      </c>
      <c r="K296" s="23">
        <f t="shared" si="2"/>
        <v>125268</v>
      </c>
      <c r="L296" s="24">
        <f>Vlookup(D296,Customer_Tab!$A$2:$C$10,3,FALSE)</f>
        <v>0.15</v>
      </c>
      <c r="M296" s="23">
        <f t="shared" si="3"/>
        <v>18790.2</v>
      </c>
      <c r="N296" s="25">
        <f t="shared" si="4"/>
        <v>106477.8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  <c r="E297" s="23">
        <f>IFERROR(__xludf.DUMMYFUNCTION("SPLIT(C297,""_"")"),352.0)</f>
        <v>352</v>
      </c>
      <c r="F297" s="23" t="str">
        <f>IFERROR(__xludf.DUMMYFUNCTION("""COMPUTED_VALUE"""),"April")</f>
        <v>April</v>
      </c>
      <c r="G297" s="23">
        <f>IFERROR(__xludf.DUMMYFUNCTION("""COMPUTED_VALUE"""),17.0)</f>
        <v>17</v>
      </c>
      <c r="H297" s="23" t="str">
        <f>IFERROR(__xludf.DUMMYFUNCTION("""COMPUTED_VALUE"""),"ABC0023")</f>
        <v>ABC0023</v>
      </c>
      <c r="I297" s="23">
        <f t="shared" si="1"/>
        <v>352</v>
      </c>
      <c r="J297" s="23">
        <f>Vlookup(B297,Product_Tab!$A$2:$C$16,3,FALSE)</f>
        <v>223</v>
      </c>
      <c r="K297" s="23">
        <f t="shared" si="2"/>
        <v>78496</v>
      </c>
      <c r="L297" s="24">
        <f>Vlookup(D297,Customer_Tab!$A$2:$C$10,3,FALSE)</f>
        <v>0.18</v>
      </c>
      <c r="M297" s="23">
        <f t="shared" si="3"/>
        <v>14129.28</v>
      </c>
      <c r="N297" s="25">
        <f t="shared" si="4"/>
        <v>64366.72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  <c r="E298" s="23">
        <f>IFERROR(__xludf.DUMMYFUNCTION("SPLIT(C298,""_"")"),307.0)</f>
        <v>307</v>
      </c>
      <c r="F298" s="23" t="str">
        <f>IFERROR(__xludf.DUMMYFUNCTION("""COMPUTED_VALUE"""),"April")</f>
        <v>April</v>
      </c>
      <c r="G298" s="23">
        <f>IFERROR(__xludf.DUMMYFUNCTION("""COMPUTED_VALUE"""),14.0)</f>
        <v>14</v>
      </c>
      <c r="H298" s="23" t="str">
        <f>IFERROR(__xludf.DUMMYFUNCTION("""COMPUTED_VALUE"""),"ABC0023")</f>
        <v>ABC0023</v>
      </c>
      <c r="I298" s="23">
        <f t="shared" si="1"/>
        <v>307</v>
      </c>
      <c r="J298" s="23">
        <f>Vlookup(B298,Product_Tab!$A$2:$C$16,3,FALSE)</f>
        <v>721</v>
      </c>
      <c r="K298" s="23">
        <f t="shared" si="2"/>
        <v>221347</v>
      </c>
      <c r="L298" s="24">
        <f>Vlookup(D298,Customer_Tab!$A$2:$C$10,3,FALSE)</f>
        <v>0.1</v>
      </c>
      <c r="M298" s="23">
        <f t="shared" si="3"/>
        <v>22134.7</v>
      </c>
      <c r="N298" s="25">
        <f t="shared" si="4"/>
        <v>199212.3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  <c r="E299" s="23">
        <f>IFERROR(__xludf.DUMMYFUNCTION("SPLIT(C299,""_"")"),464.0)</f>
        <v>464</v>
      </c>
      <c r="F299" s="23" t="str">
        <f>IFERROR(__xludf.DUMMYFUNCTION("""COMPUTED_VALUE"""),"April")</f>
        <v>April</v>
      </c>
      <c r="G299" s="23">
        <f>IFERROR(__xludf.DUMMYFUNCTION("""COMPUTED_VALUE"""),20.0)</f>
        <v>20</v>
      </c>
      <c r="H299" s="23" t="str">
        <f>IFERROR(__xludf.DUMMYFUNCTION("""COMPUTED_VALUE"""),"ABC0023")</f>
        <v>ABC0023</v>
      </c>
      <c r="I299" s="23">
        <f t="shared" si="1"/>
        <v>464</v>
      </c>
      <c r="J299" s="23">
        <f>Vlookup(B299,Product_Tab!$A$2:$C$16,3,FALSE)</f>
        <v>273</v>
      </c>
      <c r="K299" s="23">
        <f t="shared" si="2"/>
        <v>126672</v>
      </c>
      <c r="L299" s="24">
        <f>Vlookup(D299,Customer_Tab!$A$2:$C$10,3,FALSE)</f>
        <v>0.15</v>
      </c>
      <c r="M299" s="23">
        <f t="shared" si="3"/>
        <v>19000.8</v>
      </c>
      <c r="N299" s="25">
        <f t="shared" si="4"/>
        <v>107671.2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  <c r="E300" s="23">
        <f>IFERROR(__xludf.DUMMYFUNCTION("SPLIT(C300,""_"")"),371.0)</f>
        <v>371</v>
      </c>
      <c r="F300" s="23" t="str">
        <f>IFERROR(__xludf.DUMMYFUNCTION("""COMPUTED_VALUE"""),"April")</f>
        <v>April</v>
      </c>
      <c r="G300" s="23">
        <f>IFERROR(__xludf.DUMMYFUNCTION("""COMPUTED_VALUE"""),8.0)</f>
        <v>8</v>
      </c>
      <c r="H300" s="23" t="str">
        <f>IFERROR(__xludf.DUMMYFUNCTION("""COMPUTED_VALUE"""),"ABC0023")</f>
        <v>ABC0023</v>
      </c>
      <c r="I300" s="23">
        <f t="shared" si="1"/>
        <v>371</v>
      </c>
      <c r="J300" s="23">
        <f>Vlookup(B300,Product_Tab!$A$2:$C$16,3,FALSE)</f>
        <v>151</v>
      </c>
      <c r="K300" s="23">
        <f t="shared" si="2"/>
        <v>56021</v>
      </c>
      <c r="L300" s="24">
        <f>Vlookup(D300,Customer_Tab!$A$2:$C$10,3,FALSE)</f>
        <v>0.15</v>
      </c>
      <c r="M300" s="23">
        <f t="shared" si="3"/>
        <v>8403.15</v>
      </c>
      <c r="N300" s="25">
        <f t="shared" si="4"/>
        <v>47617.85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  <c r="E301" s="23">
        <f>IFERROR(__xludf.DUMMYFUNCTION("SPLIT(C301,""_"")"),348.0)</f>
        <v>348</v>
      </c>
      <c r="F301" s="23" t="str">
        <f>IFERROR(__xludf.DUMMYFUNCTION("""COMPUTED_VALUE"""),"April")</f>
        <v>April</v>
      </c>
      <c r="G301" s="23">
        <f>IFERROR(__xludf.DUMMYFUNCTION("""COMPUTED_VALUE"""),24.0)</f>
        <v>24</v>
      </c>
      <c r="H301" s="23" t="str">
        <f>IFERROR(__xludf.DUMMYFUNCTION("""COMPUTED_VALUE"""),"ABC0023")</f>
        <v>ABC0023</v>
      </c>
      <c r="I301" s="23">
        <f t="shared" si="1"/>
        <v>348</v>
      </c>
      <c r="J301" s="23">
        <f>Vlookup(B301,Product_Tab!$A$2:$C$16,3,FALSE)</f>
        <v>421</v>
      </c>
      <c r="K301" s="23">
        <f t="shared" si="2"/>
        <v>146508</v>
      </c>
      <c r="L301" s="24">
        <f>Vlookup(D301,Customer_Tab!$A$2:$C$10,3,FALSE)</f>
        <v>0.18</v>
      </c>
      <c r="M301" s="23">
        <f t="shared" si="3"/>
        <v>26371.44</v>
      </c>
      <c r="N301" s="25">
        <f t="shared" si="4"/>
        <v>120136.56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  <c r="E302" s="23">
        <f>IFERROR(__xludf.DUMMYFUNCTION("SPLIT(C302,""_"")"),433.0)</f>
        <v>433</v>
      </c>
      <c r="F302" s="23" t="str">
        <f>IFERROR(__xludf.DUMMYFUNCTION("""COMPUTED_VALUE"""),"April")</f>
        <v>April</v>
      </c>
      <c r="G302" s="23">
        <f>IFERROR(__xludf.DUMMYFUNCTION("""COMPUTED_VALUE"""),14.0)</f>
        <v>14</v>
      </c>
      <c r="H302" s="23" t="str">
        <f>IFERROR(__xludf.DUMMYFUNCTION("""COMPUTED_VALUE"""),"ABC0023")</f>
        <v>ABC0023</v>
      </c>
      <c r="I302" s="23">
        <f t="shared" si="1"/>
        <v>433</v>
      </c>
      <c r="J302" s="23">
        <f>Vlookup(B302,Product_Tab!$A$2:$C$16,3,FALSE)</f>
        <v>795</v>
      </c>
      <c r="K302" s="23">
        <f t="shared" si="2"/>
        <v>344235</v>
      </c>
      <c r="L302" s="24">
        <f>Vlookup(D302,Customer_Tab!$A$2:$C$10,3,FALSE)</f>
        <v>0.18</v>
      </c>
      <c r="M302" s="23">
        <f t="shared" si="3"/>
        <v>61962.3</v>
      </c>
      <c r="N302" s="25">
        <f t="shared" si="4"/>
        <v>282272.7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  <c r="E303" s="23">
        <f>IFERROR(__xludf.DUMMYFUNCTION("SPLIT(C303,""_"")"),298.0)</f>
        <v>298</v>
      </c>
      <c r="F303" s="23" t="str">
        <f>IFERROR(__xludf.DUMMYFUNCTION("""COMPUTED_VALUE"""),"April")</f>
        <v>April</v>
      </c>
      <c r="G303" s="23">
        <f>IFERROR(__xludf.DUMMYFUNCTION("""COMPUTED_VALUE"""),23.0)</f>
        <v>23</v>
      </c>
      <c r="H303" s="23" t="str">
        <f>IFERROR(__xludf.DUMMYFUNCTION("""COMPUTED_VALUE"""),"ABC0023")</f>
        <v>ABC0023</v>
      </c>
      <c r="I303" s="23">
        <f t="shared" si="1"/>
        <v>298</v>
      </c>
      <c r="J303" s="23">
        <f>Vlookup(B303,Product_Tab!$A$2:$C$16,3,FALSE)</f>
        <v>652</v>
      </c>
      <c r="K303" s="23">
        <f t="shared" si="2"/>
        <v>194296</v>
      </c>
      <c r="L303" s="24">
        <f>Vlookup(D303,Customer_Tab!$A$2:$C$10,3,FALSE)</f>
        <v>0.1</v>
      </c>
      <c r="M303" s="23">
        <f t="shared" si="3"/>
        <v>19429.6</v>
      </c>
      <c r="N303" s="25">
        <f t="shared" si="4"/>
        <v>174866.4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  <c r="E304" s="23">
        <f>IFERROR(__xludf.DUMMYFUNCTION("SPLIT(C304,""_"")"),495.0)</f>
        <v>495</v>
      </c>
      <c r="F304" s="23" t="str">
        <f>IFERROR(__xludf.DUMMYFUNCTION("""COMPUTED_VALUE"""),"April")</f>
        <v>April</v>
      </c>
      <c r="G304" s="23">
        <f>IFERROR(__xludf.DUMMYFUNCTION("""COMPUTED_VALUE"""),23.0)</f>
        <v>23</v>
      </c>
      <c r="H304" s="23" t="str">
        <f>IFERROR(__xludf.DUMMYFUNCTION("""COMPUTED_VALUE"""),"ABC0023")</f>
        <v>ABC0023</v>
      </c>
      <c r="I304" s="23">
        <f t="shared" si="1"/>
        <v>495</v>
      </c>
      <c r="J304" s="23">
        <f>Vlookup(B304,Product_Tab!$A$2:$C$16,3,FALSE)</f>
        <v>378</v>
      </c>
      <c r="K304" s="23">
        <f t="shared" si="2"/>
        <v>187110</v>
      </c>
      <c r="L304" s="24">
        <f>Vlookup(D304,Customer_Tab!$A$2:$C$10,3,FALSE)</f>
        <v>0.1</v>
      </c>
      <c r="M304" s="23">
        <f t="shared" si="3"/>
        <v>18711</v>
      </c>
      <c r="N304" s="25">
        <f t="shared" si="4"/>
        <v>168399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  <c r="E305" s="23">
        <f>IFERROR(__xludf.DUMMYFUNCTION("SPLIT(C305,""_"")"),289.0)</f>
        <v>289</v>
      </c>
      <c r="F305" s="23" t="str">
        <f>IFERROR(__xludf.DUMMYFUNCTION("""COMPUTED_VALUE"""),"April")</f>
        <v>April</v>
      </c>
      <c r="G305" s="23">
        <f>IFERROR(__xludf.DUMMYFUNCTION("""COMPUTED_VALUE"""),8.0)</f>
        <v>8</v>
      </c>
      <c r="H305" s="23" t="str">
        <f>IFERROR(__xludf.DUMMYFUNCTION("""COMPUTED_VALUE"""),"ABC0023")</f>
        <v>ABC0023</v>
      </c>
      <c r="I305" s="23">
        <f t="shared" si="1"/>
        <v>289</v>
      </c>
      <c r="J305" s="23">
        <f>Vlookup(B305,Product_Tab!$A$2:$C$16,3,FALSE)</f>
        <v>545</v>
      </c>
      <c r="K305" s="23">
        <f t="shared" si="2"/>
        <v>157505</v>
      </c>
      <c r="L305" s="24">
        <f>Vlookup(D305,Customer_Tab!$A$2:$C$10,3,FALSE)</f>
        <v>0.15</v>
      </c>
      <c r="M305" s="23">
        <f t="shared" si="3"/>
        <v>23625.75</v>
      </c>
      <c r="N305" s="25">
        <f t="shared" si="4"/>
        <v>133879.25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  <c r="E306" s="23">
        <f>IFERROR(__xludf.DUMMYFUNCTION("SPLIT(C306,""_"")"),414.0)</f>
        <v>414</v>
      </c>
      <c r="F306" s="23" t="str">
        <f>IFERROR(__xludf.DUMMYFUNCTION("""COMPUTED_VALUE"""),"April")</f>
        <v>April</v>
      </c>
      <c r="G306" s="23">
        <f>IFERROR(__xludf.DUMMYFUNCTION("""COMPUTED_VALUE"""),20.0)</f>
        <v>20</v>
      </c>
      <c r="H306" s="23" t="str">
        <f>IFERROR(__xludf.DUMMYFUNCTION("""COMPUTED_VALUE"""),"ABC0023")</f>
        <v>ABC0023</v>
      </c>
      <c r="I306" s="23">
        <f t="shared" si="1"/>
        <v>414</v>
      </c>
      <c r="J306" s="23">
        <f>Vlookup(B306,Product_Tab!$A$2:$C$16,3,FALSE)</f>
        <v>203</v>
      </c>
      <c r="K306" s="23">
        <f t="shared" si="2"/>
        <v>84042</v>
      </c>
      <c r="L306" s="24">
        <f>Vlookup(D306,Customer_Tab!$A$2:$C$10,3,FALSE)</f>
        <v>0.18</v>
      </c>
      <c r="M306" s="23">
        <f t="shared" si="3"/>
        <v>15127.56</v>
      </c>
      <c r="N306" s="25">
        <f t="shared" si="4"/>
        <v>68914.44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  <c r="E307" s="23">
        <f>IFERROR(__xludf.DUMMYFUNCTION("SPLIT(C307,""_"")"),315.0)</f>
        <v>315</v>
      </c>
      <c r="F307" s="23" t="str">
        <f>IFERROR(__xludf.DUMMYFUNCTION("""COMPUTED_VALUE"""),"April")</f>
        <v>April</v>
      </c>
      <c r="G307" s="23">
        <f>IFERROR(__xludf.DUMMYFUNCTION("""COMPUTED_VALUE"""),15.0)</f>
        <v>15</v>
      </c>
      <c r="H307" s="23" t="str">
        <f>IFERROR(__xludf.DUMMYFUNCTION("""COMPUTED_VALUE"""),"ABC0023")</f>
        <v>ABC0023</v>
      </c>
      <c r="I307" s="23">
        <f t="shared" si="1"/>
        <v>315</v>
      </c>
      <c r="J307" s="23">
        <f>Vlookup(B307,Product_Tab!$A$2:$C$16,3,FALSE)</f>
        <v>131</v>
      </c>
      <c r="K307" s="23">
        <f t="shared" si="2"/>
        <v>41265</v>
      </c>
      <c r="L307" s="24">
        <f>Vlookup(D307,Customer_Tab!$A$2:$C$10,3,FALSE)</f>
        <v>0.1</v>
      </c>
      <c r="M307" s="23">
        <f t="shared" si="3"/>
        <v>4126.5</v>
      </c>
      <c r="N307" s="25">
        <f t="shared" si="4"/>
        <v>37138.5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  <c r="E308" s="23">
        <f>IFERROR(__xludf.DUMMYFUNCTION("SPLIT(C308,""_"")"),387.0)</f>
        <v>387</v>
      </c>
      <c r="F308" s="23" t="str">
        <f>IFERROR(__xludf.DUMMYFUNCTION("""COMPUTED_VALUE"""),"April")</f>
        <v>April</v>
      </c>
      <c r="G308" s="23">
        <f>IFERROR(__xludf.DUMMYFUNCTION("""COMPUTED_VALUE"""),9.0)</f>
        <v>9</v>
      </c>
      <c r="H308" s="23" t="str">
        <f>IFERROR(__xludf.DUMMYFUNCTION("""COMPUTED_VALUE"""),"ABC0023")</f>
        <v>ABC0023</v>
      </c>
      <c r="I308" s="23">
        <f t="shared" si="1"/>
        <v>387</v>
      </c>
      <c r="J308" s="23">
        <f>Vlookup(B308,Product_Tab!$A$2:$C$16,3,FALSE)</f>
        <v>50</v>
      </c>
      <c r="K308" s="23">
        <f t="shared" si="2"/>
        <v>19350</v>
      </c>
      <c r="L308" s="24">
        <f>Vlookup(D308,Customer_Tab!$A$2:$C$10,3,FALSE)</f>
        <v>0.15</v>
      </c>
      <c r="M308" s="23">
        <f t="shared" si="3"/>
        <v>2902.5</v>
      </c>
      <c r="N308" s="25">
        <f t="shared" si="4"/>
        <v>16447.5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  <c r="E309" s="23">
        <f>IFERROR(__xludf.DUMMYFUNCTION("SPLIT(C309,""_"")"),455.0)</f>
        <v>455</v>
      </c>
      <c r="F309" s="23" t="str">
        <f>IFERROR(__xludf.DUMMYFUNCTION("""COMPUTED_VALUE"""),"April")</f>
        <v>April</v>
      </c>
      <c r="G309" s="23">
        <f>IFERROR(__xludf.DUMMYFUNCTION("""COMPUTED_VALUE"""),12.0)</f>
        <v>12</v>
      </c>
      <c r="H309" s="23" t="str">
        <f>IFERROR(__xludf.DUMMYFUNCTION("""COMPUTED_VALUE"""),"ABC0023")</f>
        <v>ABC0023</v>
      </c>
      <c r="I309" s="23">
        <f t="shared" si="1"/>
        <v>455</v>
      </c>
      <c r="J309" s="23">
        <f>Vlookup(B309,Product_Tab!$A$2:$C$16,3,FALSE)</f>
        <v>76</v>
      </c>
      <c r="K309" s="23">
        <f t="shared" si="2"/>
        <v>34580</v>
      </c>
      <c r="L309" s="24">
        <f>Vlookup(D309,Customer_Tab!$A$2:$C$10,3,FALSE)</f>
        <v>0.15</v>
      </c>
      <c r="M309" s="23">
        <f t="shared" si="3"/>
        <v>5187</v>
      </c>
      <c r="N309" s="25">
        <f t="shared" si="4"/>
        <v>29393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  <c r="E310" s="23">
        <f>IFERROR(__xludf.DUMMYFUNCTION("SPLIT(C310,""_"")"),294.0)</f>
        <v>294</v>
      </c>
      <c r="F310" s="23" t="str">
        <f>IFERROR(__xludf.DUMMYFUNCTION("""COMPUTED_VALUE"""),"April")</f>
        <v>April</v>
      </c>
      <c r="G310" s="23">
        <f>IFERROR(__xludf.DUMMYFUNCTION("""COMPUTED_VALUE"""),11.0)</f>
        <v>11</v>
      </c>
      <c r="H310" s="23" t="str">
        <f>IFERROR(__xludf.DUMMYFUNCTION("""COMPUTED_VALUE"""),"ABC0023")</f>
        <v>ABC0023</v>
      </c>
      <c r="I310" s="23">
        <f t="shared" si="1"/>
        <v>294</v>
      </c>
      <c r="J310" s="23">
        <f>Vlookup(B310,Product_Tab!$A$2:$C$16,3,FALSE)</f>
        <v>659</v>
      </c>
      <c r="K310" s="23">
        <f t="shared" si="2"/>
        <v>193746</v>
      </c>
      <c r="L310" s="24">
        <f>Vlookup(D310,Customer_Tab!$A$2:$C$10,3,FALSE)</f>
        <v>0.18</v>
      </c>
      <c r="M310" s="23">
        <f t="shared" si="3"/>
        <v>34874.28</v>
      </c>
      <c r="N310" s="25">
        <f t="shared" si="4"/>
        <v>158871.72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  <c r="E311" s="23">
        <f>IFERROR(__xludf.DUMMYFUNCTION("SPLIT(C311,""_"")"),283.0)</f>
        <v>283</v>
      </c>
      <c r="F311" s="23" t="str">
        <f>IFERROR(__xludf.DUMMYFUNCTION("""COMPUTED_VALUE"""),"April")</f>
        <v>April</v>
      </c>
      <c r="G311" s="23">
        <f>IFERROR(__xludf.DUMMYFUNCTION("""COMPUTED_VALUE"""),17.0)</f>
        <v>17</v>
      </c>
      <c r="H311" s="23" t="str">
        <f>IFERROR(__xludf.DUMMYFUNCTION("""COMPUTED_VALUE"""),"ABC0023")</f>
        <v>ABC0023</v>
      </c>
      <c r="I311" s="23">
        <f t="shared" si="1"/>
        <v>283</v>
      </c>
      <c r="J311" s="23">
        <f>Vlookup(B311,Product_Tab!$A$2:$C$16,3,FALSE)</f>
        <v>286</v>
      </c>
      <c r="K311" s="23">
        <f t="shared" si="2"/>
        <v>80938</v>
      </c>
      <c r="L311" s="24">
        <f>Vlookup(D311,Customer_Tab!$A$2:$C$10,3,FALSE)</f>
        <v>0.18</v>
      </c>
      <c r="M311" s="23">
        <f t="shared" si="3"/>
        <v>14568.84</v>
      </c>
      <c r="N311" s="25">
        <f t="shared" si="4"/>
        <v>66369.16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  <c r="E312" s="23">
        <f>IFERROR(__xludf.DUMMYFUNCTION("SPLIT(C312,""_"")"),222.0)</f>
        <v>222</v>
      </c>
      <c r="F312" s="23" t="str">
        <f>IFERROR(__xludf.DUMMYFUNCTION("""COMPUTED_VALUE"""),"April")</f>
        <v>April</v>
      </c>
      <c r="G312" s="23">
        <f>IFERROR(__xludf.DUMMYFUNCTION("""COMPUTED_VALUE"""),19.0)</f>
        <v>19</v>
      </c>
      <c r="H312" s="23" t="str">
        <f>IFERROR(__xludf.DUMMYFUNCTION("""COMPUTED_VALUE"""),"ABC0023")</f>
        <v>ABC0023</v>
      </c>
      <c r="I312" s="23">
        <f t="shared" si="1"/>
        <v>222</v>
      </c>
      <c r="J312" s="23">
        <f>Vlookup(B312,Product_Tab!$A$2:$C$16,3,FALSE)</f>
        <v>223</v>
      </c>
      <c r="K312" s="23">
        <f t="shared" si="2"/>
        <v>49506</v>
      </c>
      <c r="L312" s="24">
        <f>Vlookup(D312,Customer_Tab!$A$2:$C$10,3,FALSE)</f>
        <v>0.1</v>
      </c>
      <c r="M312" s="23">
        <f t="shared" si="3"/>
        <v>4950.6</v>
      </c>
      <c r="N312" s="25">
        <f t="shared" si="4"/>
        <v>44555.4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  <c r="E313" s="23">
        <f>IFERROR(__xludf.DUMMYFUNCTION("SPLIT(C313,""_"")"),403.0)</f>
        <v>403</v>
      </c>
      <c r="F313" s="23" t="str">
        <f>IFERROR(__xludf.DUMMYFUNCTION("""COMPUTED_VALUE"""),"April")</f>
        <v>April</v>
      </c>
      <c r="G313" s="23">
        <f>IFERROR(__xludf.DUMMYFUNCTION("""COMPUTED_VALUE"""),14.0)</f>
        <v>14</v>
      </c>
      <c r="H313" s="23" t="str">
        <f>IFERROR(__xludf.DUMMYFUNCTION("""COMPUTED_VALUE"""),"ABC0023")</f>
        <v>ABC0023</v>
      </c>
      <c r="I313" s="23">
        <f t="shared" si="1"/>
        <v>403</v>
      </c>
      <c r="J313" s="23">
        <f>Vlookup(B313,Product_Tab!$A$2:$C$16,3,FALSE)</f>
        <v>721</v>
      </c>
      <c r="K313" s="23">
        <f t="shared" si="2"/>
        <v>290563</v>
      </c>
      <c r="L313" s="24">
        <f>Vlookup(D313,Customer_Tab!$A$2:$C$10,3,FALSE)</f>
        <v>0.1</v>
      </c>
      <c r="M313" s="23">
        <f t="shared" si="3"/>
        <v>29056.3</v>
      </c>
      <c r="N313" s="25">
        <f t="shared" si="4"/>
        <v>261506.7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  <c r="E314" s="23">
        <f>IFERROR(__xludf.DUMMYFUNCTION("SPLIT(C314,""_"")"),286.0)</f>
        <v>286</v>
      </c>
      <c r="F314" s="23" t="str">
        <f>IFERROR(__xludf.DUMMYFUNCTION("""COMPUTED_VALUE"""),"April")</f>
        <v>April</v>
      </c>
      <c r="G314" s="23">
        <f>IFERROR(__xludf.DUMMYFUNCTION("""COMPUTED_VALUE"""),6.0)</f>
        <v>6</v>
      </c>
      <c r="H314" s="23" t="str">
        <f>IFERROR(__xludf.DUMMYFUNCTION("""COMPUTED_VALUE"""),"ABC0023")</f>
        <v>ABC0023</v>
      </c>
      <c r="I314" s="23">
        <f t="shared" si="1"/>
        <v>286</v>
      </c>
      <c r="J314" s="23">
        <f>Vlookup(B314,Product_Tab!$A$2:$C$16,3,FALSE)</f>
        <v>273</v>
      </c>
      <c r="K314" s="23">
        <f t="shared" si="2"/>
        <v>78078</v>
      </c>
      <c r="L314" s="24">
        <f>Vlookup(D314,Customer_Tab!$A$2:$C$10,3,FALSE)</f>
        <v>0.15</v>
      </c>
      <c r="M314" s="23">
        <f t="shared" si="3"/>
        <v>11711.7</v>
      </c>
      <c r="N314" s="25">
        <f t="shared" si="4"/>
        <v>66366.3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  <c r="E315" s="23">
        <f>IFERROR(__xludf.DUMMYFUNCTION("SPLIT(C315,""_"")"),421.0)</f>
        <v>421</v>
      </c>
      <c r="F315" s="23" t="str">
        <f>IFERROR(__xludf.DUMMYFUNCTION("""COMPUTED_VALUE"""),"April")</f>
        <v>April</v>
      </c>
      <c r="G315" s="23">
        <f>IFERROR(__xludf.DUMMYFUNCTION("""COMPUTED_VALUE"""),11.0)</f>
        <v>11</v>
      </c>
      <c r="H315" s="23" t="str">
        <f>IFERROR(__xludf.DUMMYFUNCTION("""COMPUTED_VALUE"""),"ABC0023")</f>
        <v>ABC0023</v>
      </c>
      <c r="I315" s="23">
        <f t="shared" si="1"/>
        <v>421</v>
      </c>
      <c r="J315" s="23">
        <f>Vlookup(B315,Product_Tab!$A$2:$C$16,3,FALSE)</f>
        <v>151</v>
      </c>
      <c r="K315" s="23">
        <f t="shared" si="2"/>
        <v>63571</v>
      </c>
      <c r="L315" s="24">
        <f>Vlookup(D315,Customer_Tab!$A$2:$C$10,3,FALSE)</f>
        <v>0.18</v>
      </c>
      <c r="M315" s="23">
        <f t="shared" si="3"/>
        <v>11442.78</v>
      </c>
      <c r="N315" s="25">
        <f t="shared" si="4"/>
        <v>52128.22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  <c r="E316" s="23">
        <f>IFERROR(__xludf.DUMMYFUNCTION("SPLIT(C316,""_"")"),482.0)</f>
        <v>482</v>
      </c>
      <c r="F316" s="23" t="str">
        <f>IFERROR(__xludf.DUMMYFUNCTION("""COMPUTED_VALUE"""),"April")</f>
        <v>April</v>
      </c>
      <c r="G316" s="23">
        <f>IFERROR(__xludf.DUMMYFUNCTION("""COMPUTED_VALUE"""),14.0)</f>
        <v>14</v>
      </c>
      <c r="H316" s="23" t="str">
        <f>IFERROR(__xludf.DUMMYFUNCTION("""COMPUTED_VALUE"""),"ABC0023")</f>
        <v>ABC0023</v>
      </c>
      <c r="I316" s="23">
        <f t="shared" si="1"/>
        <v>482</v>
      </c>
      <c r="J316" s="23">
        <f>Vlookup(B316,Product_Tab!$A$2:$C$16,3,FALSE)</f>
        <v>421</v>
      </c>
      <c r="K316" s="23">
        <f t="shared" si="2"/>
        <v>202922</v>
      </c>
      <c r="L316" s="24">
        <f>Vlookup(D316,Customer_Tab!$A$2:$C$10,3,FALSE)</f>
        <v>0.1</v>
      </c>
      <c r="M316" s="23">
        <f t="shared" si="3"/>
        <v>20292.2</v>
      </c>
      <c r="N316" s="25">
        <f t="shared" si="4"/>
        <v>182629.8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  <c r="E317" s="23">
        <f>IFERROR(__xludf.DUMMYFUNCTION("SPLIT(C317,""_"")"),292.0)</f>
        <v>292</v>
      </c>
      <c r="F317" s="23" t="str">
        <f>IFERROR(__xludf.DUMMYFUNCTION("""COMPUTED_VALUE"""),"April")</f>
        <v>April</v>
      </c>
      <c r="G317" s="23">
        <f>IFERROR(__xludf.DUMMYFUNCTION("""COMPUTED_VALUE"""),13.0)</f>
        <v>13</v>
      </c>
      <c r="H317" s="23" t="str">
        <f>IFERROR(__xludf.DUMMYFUNCTION("""COMPUTED_VALUE"""),"ABC0023")</f>
        <v>ABC0023</v>
      </c>
      <c r="I317" s="23">
        <f t="shared" si="1"/>
        <v>292</v>
      </c>
      <c r="J317" s="23">
        <f>Vlookup(B317,Product_Tab!$A$2:$C$16,3,FALSE)</f>
        <v>795</v>
      </c>
      <c r="K317" s="23">
        <f t="shared" si="2"/>
        <v>232140</v>
      </c>
      <c r="L317" s="24">
        <f>Vlookup(D317,Customer_Tab!$A$2:$C$10,3,FALSE)</f>
        <v>0.15</v>
      </c>
      <c r="M317" s="23">
        <f t="shared" si="3"/>
        <v>34821</v>
      </c>
      <c r="N317" s="25">
        <f t="shared" si="4"/>
        <v>197319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  <c r="E318" s="23">
        <f>IFERROR(__xludf.DUMMYFUNCTION("SPLIT(C318,""_"")"),445.0)</f>
        <v>445</v>
      </c>
      <c r="F318" s="23" t="str">
        <f>IFERROR(__xludf.DUMMYFUNCTION("""COMPUTED_VALUE"""),"April")</f>
        <v>April</v>
      </c>
      <c r="G318" s="23">
        <f>IFERROR(__xludf.DUMMYFUNCTION("""COMPUTED_VALUE"""),1.0)</f>
        <v>1</v>
      </c>
      <c r="H318" s="23" t="str">
        <f>IFERROR(__xludf.DUMMYFUNCTION("""COMPUTED_VALUE"""),"ABC0023")</f>
        <v>ABC0023</v>
      </c>
      <c r="I318" s="23">
        <f t="shared" si="1"/>
        <v>445</v>
      </c>
      <c r="J318" s="23">
        <f>Vlookup(B318,Product_Tab!$A$2:$C$16,3,FALSE)</f>
        <v>652</v>
      </c>
      <c r="K318" s="23">
        <f t="shared" si="2"/>
        <v>290140</v>
      </c>
      <c r="L318" s="24">
        <f>Vlookup(D318,Customer_Tab!$A$2:$C$10,3,FALSE)</f>
        <v>0.15</v>
      </c>
      <c r="M318" s="23">
        <f t="shared" si="3"/>
        <v>43521</v>
      </c>
      <c r="N318" s="25">
        <f t="shared" si="4"/>
        <v>246619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  <c r="E319" s="23">
        <f>IFERROR(__xludf.DUMMYFUNCTION("SPLIT(C319,""_"")"),376.0)</f>
        <v>376</v>
      </c>
      <c r="F319" s="23" t="str">
        <f>IFERROR(__xludf.DUMMYFUNCTION("""COMPUTED_VALUE"""),"April")</f>
        <v>April</v>
      </c>
      <c r="G319" s="23">
        <f>IFERROR(__xludf.DUMMYFUNCTION("""COMPUTED_VALUE"""),27.0)</f>
        <v>27</v>
      </c>
      <c r="H319" s="23" t="str">
        <f>IFERROR(__xludf.DUMMYFUNCTION("""COMPUTED_VALUE"""),"ABC0023")</f>
        <v>ABC0023</v>
      </c>
      <c r="I319" s="23">
        <f t="shared" si="1"/>
        <v>376</v>
      </c>
      <c r="J319" s="23">
        <f>Vlookup(B319,Product_Tab!$A$2:$C$16,3,FALSE)</f>
        <v>378</v>
      </c>
      <c r="K319" s="23">
        <f t="shared" si="2"/>
        <v>142128</v>
      </c>
      <c r="L319" s="24">
        <f>Vlookup(D319,Customer_Tab!$A$2:$C$10,3,FALSE)</f>
        <v>0.18</v>
      </c>
      <c r="M319" s="23">
        <f t="shared" si="3"/>
        <v>25583.04</v>
      </c>
      <c r="N319" s="25">
        <f t="shared" si="4"/>
        <v>116544.96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  <c r="E320" s="23">
        <f>IFERROR(__xludf.DUMMYFUNCTION("SPLIT(C320,""_"")"),478.0)</f>
        <v>478</v>
      </c>
      <c r="F320" s="23" t="str">
        <f>IFERROR(__xludf.DUMMYFUNCTION("""COMPUTED_VALUE"""),"April")</f>
        <v>April</v>
      </c>
      <c r="G320" s="23">
        <f>IFERROR(__xludf.DUMMYFUNCTION("""COMPUTED_VALUE"""),14.0)</f>
        <v>14</v>
      </c>
      <c r="H320" s="23" t="str">
        <f>IFERROR(__xludf.DUMMYFUNCTION("""COMPUTED_VALUE"""),"ABC0023")</f>
        <v>ABC0023</v>
      </c>
      <c r="I320" s="23">
        <f t="shared" si="1"/>
        <v>478</v>
      </c>
      <c r="J320" s="23">
        <f>Vlookup(B320,Product_Tab!$A$2:$C$16,3,FALSE)</f>
        <v>545</v>
      </c>
      <c r="K320" s="23">
        <f t="shared" si="2"/>
        <v>260510</v>
      </c>
      <c r="L320" s="24">
        <f>Vlookup(D320,Customer_Tab!$A$2:$C$10,3,FALSE)</f>
        <v>0.18</v>
      </c>
      <c r="M320" s="23">
        <f t="shared" si="3"/>
        <v>46891.8</v>
      </c>
      <c r="N320" s="25">
        <f t="shared" si="4"/>
        <v>213618.2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  <c r="E321" s="23">
        <f>IFERROR(__xludf.DUMMYFUNCTION("SPLIT(C321,""_"")"),447.0)</f>
        <v>447</v>
      </c>
      <c r="F321" s="23" t="str">
        <f>IFERROR(__xludf.DUMMYFUNCTION("""COMPUTED_VALUE"""),"April")</f>
        <v>April</v>
      </c>
      <c r="G321" s="23">
        <f>IFERROR(__xludf.DUMMYFUNCTION("""COMPUTED_VALUE"""),3.0)</f>
        <v>3</v>
      </c>
      <c r="H321" s="23" t="str">
        <f>IFERROR(__xludf.DUMMYFUNCTION("""COMPUTED_VALUE"""),"ABC0023")</f>
        <v>ABC0023</v>
      </c>
      <c r="I321" s="23">
        <f t="shared" si="1"/>
        <v>447</v>
      </c>
      <c r="J321" s="23">
        <f>Vlookup(B321,Product_Tab!$A$2:$C$16,3,FALSE)</f>
        <v>203</v>
      </c>
      <c r="K321" s="23">
        <f t="shared" si="2"/>
        <v>90741</v>
      </c>
      <c r="L321" s="24">
        <f>Vlookup(D321,Customer_Tab!$A$2:$C$10,3,FALSE)</f>
        <v>0.1</v>
      </c>
      <c r="M321" s="23">
        <f t="shared" si="3"/>
        <v>9074.1</v>
      </c>
      <c r="N321" s="25">
        <f t="shared" si="4"/>
        <v>81666.9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  <c r="E322" s="23">
        <f>IFERROR(__xludf.DUMMYFUNCTION("SPLIT(C322,""_"")"),231.0)</f>
        <v>231</v>
      </c>
      <c r="F322" s="23" t="str">
        <f>IFERROR(__xludf.DUMMYFUNCTION("""COMPUTED_VALUE"""),"April")</f>
        <v>April</v>
      </c>
      <c r="G322" s="23">
        <f>IFERROR(__xludf.DUMMYFUNCTION("""COMPUTED_VALUE"""),9.0)</f>
        <v>9</v>
      </c>
      <c r="H322" s="23" t="str">
        <f>IFERROR(__xludf.DUMMYFUNCTION("""COMPUTED_VALUE"""),"ABC0023")</f>
        <v>ABC0023</v>
      </c>
      <c r="I322" s="23">
        <f t="shared" si="1"/>
        <v>231</v>
      </c>
      <c r="J322" s="23">
        <f>Vlookup(B322,Product_Tab!$A$2:$C$16,3,FALSE)</f>
        <v>131</v>
      </c>
      <c r="K322" s="23">
        <f t="shared" si="2"/>
        <v>30261</v>
      </c>
      <c r="L322" s="24">
        <f>Vlookup(D322,Customer_Tab!$A$2:$C$10,3,FALSE)</f>
        <v>0.1</v>
      </c>
      <c r="M322" s="23">
        <f t="shared" si="3"/>
        <v>3026.1</v>
      </c>
      <c r="N322" s="25">
        <f t="shared" si="4"/>
        <v>27234.9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  <c r="E323" s="23">
        <f>IFERROR(__xludf.DUMMYFUNCTION("SPLIT(C323,""_"")"),210.0)</f>
        <v>210</v>
      </c>
      <c r="F323" s="23" t="str">
        <f>IFERROR(__xludf.DUMMYFUNCTION("""COMPUTED_VALUE"""),"April")</f>
        <v>April</v>
      </c>
      <c r="G323" s="23">
        <f>IFERROR(__xludf.DUMMYFUNCTION("""COMPUTED_VALUE"""),22.0)</f>
        <v>22</v>
      </c>
      <c r="H323" s="23" t="str">
        <f>IFERROR(__xludf.DUMMYFUNCTION("""COMPUTED_VALUE"""),"ABC0023")</f>
        <v>ABC0023</v>
      </c>
      <c r="I323" s="23">
        <f t="shared" si="1"/>
        <v>210</v>
      </c>
      <c r="J323" s="23">
        <f>Vlookup(B323,Product_Tab!$A$2:$C$16,3,FALSE)</f>
        <v>50</v>
      </c>
      <c r="K323" s="23">
        <f t="shared" si="2"/>
        <v>10500</v>
      </c>
      <c r="L323" s="24">
        <f>Vlookup(D323,Customer_Tab!$A$2:$C$10,3,FALSE)</f>
        <v>0.15</v>
      </c>
      <c r="M323" s="23">
        <f t="shared" si="3"/>
        <v>1575</v>
      </c>
      <c r="N323" s="25">
        <f t="shared" si="4"/>
        <v>8925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  <c r="E324" s="23">
        <f>IFERROR(__xludf.DUMMYFUNCTION("SPLIT(C324,""_"")"),398.0)</f>
        <v>398</v>
      </c>
      <c r="F324" s="23" t="str">
        <f>IFERROR(__xludf.DUMMYFUNCTION("""COMPUTED_VALUE"""),"April")</f>
        <v>April</v>
      </c>
      <c r="G324" s="23">
        <f>IFERROR(__xludf.DUMMYFUNCTION("""COMPUTED_VALUE"""),6.0)</f>
        <v>6</v>
      </c>
      <c r="H324" s="23" t="str">
        <f>IFERROR(__xludf.DUMMYFUNCTION("""COMPUTED_VALUE"""),"ABC0023")</f>
        <v>ABC0023</v>
      </c>
      <c r="I324" s="23">
        <f t="shared" si="1"/>
        <v>398</v>
      </c>
      <c r="J324" s="23">
        <f>Vlookup(B324,Product_Tab!$A$2:$C$16,3,FALSE)</f>
        <v>76</v>
      </c>
      <c r="K324" s="23">
        <f t="shared" si="2"/>
        <v>30248</v>
      </c>
      <c r="L324" s="24">
        <f>Vlookup(D324,Customer_Tab!$A$2:$C$10,3,FALSE)</f>
        <v>0.18</v>
      </c>
      <c r="M324" s="23">
        <f t="shared" si="3"/>
        <v>5444.64</v>
      </c>
      <c r="N324" s="25">
        <f t="shared" si="4"/>
        <v>24803.36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  <c r="E325" s="23">
        <f>IFERROR(__xludf.DUMMYFUNCTION("SPLIT(C325,""_"")"),361.0)</f>
        <v>361</v>
      </c>
      <c r="F325" s="23" t="str">
        <f>IFERROR(__xludf.DUMMYFUNCTION("""COMPUTED_VALUE"""),"April")</f>
        <v>April</v>
      </c>
      <c r="G325" s="23">
        <f>IFERROR(__xludf.DUMMYFUNCTION("""COMPUTED_VALUE"""),6.0)</f>
        <v>6</v>
      </c>
      <c r="H325" s="23" t="str">
        <f>IFERROR(__xludf.DUMMYFUNCTION("""COMPUTED_VALUE"""),"ABC0023")</f>
        <v>ABC0023</v>
      </c>
      <c r="I325" s="23">
        <f t="shared" si="1"/>
        <v>361</v>
      </c>
      <c r="J325" s="23">
        <f>Vlookup(B325,Product_Tab!$A$2:$C$16,3,FALSE)</f>
        <v>659</v>
      </c>
      <c r="K325" s="23">
        <f t="shared" si="2"/>
        <v>237899</v>
      </c>
      <c r="L325" s="24">
        <f>Vlookup(D325,Customer_Tab!$A$2:$C$10,3,FALSE)</f>
        <v>0.1</v>
      </c>
      <c r="M325" s="23">
        <f t="shared" si="3"/>
        <v>23789.9</v>
      </c>
      <c r="N325" s="25">
        <f t="shared" si="4"/>
        <v>214109.1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  <c r="E326" s="23">
        <f>IFERROR(__xludf.DUMMYFUNCTION("SPLIT(C326,""_"")"),325.0)</f>
        <v>325</v>
      </c>
      <c r="F326" s="23" t="str">
        <f>IFERROR(__xludf.DUMMYFUNCTION("""COMPUTED_VALUE"""),"April")</f>
        <v>April</v>
      </c>
      <c r="G326" s="23">
        <f>IFERROR(__xludf.DUMMYFUNCTION("""COMPUTED_VALUE"""),19.0)</f>
        <v>19</v>
      </c>
      <c r="H326" s="23" t="str">
        <f>IFERROR(__xludf.DUMMYFUNCTION("""COMPUTED_VALUE"""),"ABC0023")</f>
        <v>ABC0023</v>
      </c>
      <c r="I326" s="23">
        <f t="shared" si="1"/>
        <v>325</v>
      </c>
      <c r="J326" s="23">
        <f>Vlookup(B326,Product_Tab!$A$2:$C$16,3,FALSE)</f>
        <v>286</v>
      </c>
      <c r="K326" s="23">
        <f t="shared" si="2"/>
        <v>92950</v>
      </c>
      <c r="L326" s="24">
        <f>Vlookup(D326,Customer_Tab!$A$2:$C$10,3,FALSE)</f>
        <v>0.15</v>
      </c>
      <c r="M326" s="23">
        <f t="shared" si="3"/>
        <v>13942.5</v>
      </c>
      <c r="N326" s="25">
        <f t="shared" si="4"/>
        <v>79007.5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  <c r="E327" s="23">
        <f>IFERROR(__xludf.DUMMYFUNCTION("SPLIT(C327,""_"")"),287.0)</f>
        <v>287</v>
      </c>
      <c r="F327" s="23" t="str">
        <f>IFERROR(__xludf.DUMMYFUNCTION("""COMPUTED_VALUE"""),"April")</f>
        <v>April</v>
      </c>
      <c r="G327" s="23">
        <f>IFERROR(__xludf.DUMMYFUNCTION("""COMPUTED_VALUE"""),23.0)</f>
        <v>23</v>
      </c>
      <c r="H327" s="23" t="str">
        <f>IFERROR(__xludf.DUMMYFUNCTION("""COMPUTED_VALUE"""),"ABC0023")</f>
        <v>ABC0023</v>
      </c>
      <c r="I327" s="23">
        <f t="shared" si="1"/>
        <v>287</v>
      </c>
      <c r="J327" s="23">
        <f>Vlookup(B327,Product_Tab!$A$2:$C$16,3,FALSE)</f>
        <v>223</v>
      </c>
      <c r="K327" s="23">
        <f t="shared" si="2"/>
        <v>64001</v>
      </c>
      <c r="L327" s="24">
        <f>Vlookup(D327,Customer_Tab!$A$2:$C$10,3,FALSE)</f>
        <v>0.15</v>
      </c>
      <c r="M327" s="23">
        <f t="shared" si="3"/>
        <v>9600.15</v>
      </c>
      <c r="N327" s="25">
        <f t="shared" si="4"/>
        <v>54400.85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  <c r="E328" s="23">
        <f>IFERROR(__xludf.DUMMYFUNCTION("SPLIT(C328,""_"")"),295.0)</f>
        <v>295</v>
      </c>
      <c r="F328" s="23" t="str">
        <f>IFERROR(__xludf.DUMMYFUNCTION("""COMPUTED_VALUE"""),"April")</f>
        <v>April</v>
      </c>
      <c r="G328" s="23">
        <f>IFERROR(__xludf.DUMMYFUNCTION("""COMPUTED_VALUE"""),2.0)</f>
        <v>2</v>
      </c>
      <c r="H328" s="23" t="str">
        <f>IFERROR(__xludf.DUMMYFUNCTION("""COMPUTED_VALUE"""),"ABC0023")</f>
        <v>ABC0023</v>
      </c>
      <c r="I328" s="23">
        <f t="shared" si="1"/>
        <v>295</v>
      </c>
      <c r="J328" s="23">
        <f>Vlookup(B328,Product_Tab!$A$2:$C$16,3,FALSE)</f>
        <v>721</v>
      </c>
      <c r="K328" s="23">
        <f t="shared" si="2"/>
        <v>212695</v>
      </c>
      <c r="L328" s="24">
        <f>Vlookup(D328,Customer_Tab!$A$2:$C$10,3,FALSE)</f>
        <v>0.18</v>
      </c>
      <c r="M328" s="23">
        <f t="shared" si="3"/>
        <v>38285.1</v>
      </c>
      <c r="N328" s="25">
        <f t="shared" si="4"/>
        <v>174409.9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  <c r="E329" s="23">
        <f>IFERROR(__xludf.DUMMYFUNCTION("SPLIT(C329,""_"")"),381.0)</f>
        <v>381</v>
      </c>
      <c r="F329" s="23" t="str">
        <f>IFERROR(__xludf.DUMMYFUNCTION("""COMPUTED_VALUE"""),"April")</f>
        <v>April</v>
      </c>
      <c r="G329" s="23">
        <f>IFERROR(__xludf.DUMMYFUNCTION("""COMPUTED_VALUE"""),2.0)</f>
        <v>2</v>
      </c>
      <c r="H329" s="23" t="str">
        <f>IFERROR(__xludf.DUMMYFUNCTION("""COMPUTED_VALUE"""),"ABC0023")</f>
        <v>ABC0023</v>
      </c>
      <c r="I329" s="23">
        <f t="shared" si="1"/>
        <v>381</v>
      </c>
      <c r="J329" s="23">
        <f>Vlookup(B329,Product_Tab!$A$2:$C$16,3,FALSE)</f>
        <v>273</v>
      </c>
      <c r="K329" s="23">
        <f t="shared" si="2"/>
        <v>104013</v>
      </c>
      <c r="L329" s="24">
        <f>Vlookup(D329,Customer_Tab!$A$2:$C$10,3,FALSE)</f>
        <v>0.18</v>
      </c>
      <c r="M329" s="23">
        <f t="shared" si="3"/>
        <v>18722.34</v>
      </c>
      <c r="N329" s="25">
        <f t="shared" si="4"/>
        <v>85290.66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  <c r="E330" s="23">
        <f>IFERROR(__xludf.DUMMYFUNCTION("SPLIT(C330,""_"")"),481.0)</f>
        <v>481</v>
      </c>
      <c r="F330" s="23" t="str">
        <f>IFERROR(__xludf.DUMMYFUNCTION("""COMPUTED_VALUE"""),"April")</f>
        <v>April</v>
      </c>
      <c r="G330" s="23">
        <f>IFERROR(__xludf.DUMMYFUNCTION("""COMPUTED_VALUE"""),16.0)</f>
        <v>16</v>
      </c>
      <c r="H330" s="23" t="str">
        <f>IFERROR(__xludf.DUMMYFUNCTION("""COMPUTED_VALUE"""),"ABC0023")</f>
        <v>ABC0023</v>
      </c>
      <c r="I330" s="23">
        <f t="shared" si="1"/>
        <v>481</v>
      </c>
      <c r="J330" s="23">
        <f>Vlookup(B330,Product_Tab!$A$2:$C$16,3,FALSE)</f>
        <v>151</v>
      </c>
      <c r="K330" s="23">
        <f t="shared" si="2"/>
        <v>72631</v>
      </c>
      <c r="L330" s="24">
        <f>Vlookup(D330,Customer_Tab!$A$2:$C$10,3,FALSE)</f>
        <v>0.1</v>
      </c>
      <c r="M330" s="23">
        <f t="shared" si="3"/>
        <v>7263.1</v>
      </c>
      <c r="N330" s="25">
        <f t="shared" si="4"/>
        <v>65367.9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  <c r="E331" s="23">
        <f>IFERROR(__xludf.DUMMYFUNCTION("SPLIT(C331,""_"")"),350.0)</f>
        <v>350</v>
      </c>
      <c r="F331" s="23" t="str">
        <f>IFERROR(__xludf.DUMMYFUNCTION("""COMPUTED_VALUE"""),"April")</f>
        <v>April</v>
      </c>
      <c r="G331" s="23">
        <f>IFERROR(__xludf.DUMMYFUNCTION("""COMPUTED_VALUE"""),27.0)</f>
        <v>27</v>
      </c>
      <c r="H331" s="23" t="str">
        <f>IFERROR(__xludf.DUMMYFUNCTION("""COMPUTED_VALUE"""),"ABC0023")</f>
        <v>ABC0023</v>
      </c>
      <c r="I331" s="23">
        <f t="shared" si="1"/>
        <v>350</v>
      </c>
      <c r="J331" s="23">
        <f>Vlookup(B331,Product_Tab!$A$2:$C$16,3,FALSE)</f>
        <v>421</v>
      </c>
      <c r="K331" s="23">
        <f t="shared" si="2"/>
        <v>147350</v>
      </c>
      <c r="L331" s="24">
        <f>Vlookup(D331,Customer_Tab!$A$2:$C$10,3,FALSE)</f>
        <v>0.1</v>
      </c>
      <c r="M331" s="23">
        <f t="shared" si="3"/>
        <v>14735</v>
      </c>
      <c r="N331" s="25">
        <f t="shared" si="4"/>
        <v>132615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  <c r="E332" s="23">
        <f>IFERROR(__xludf.DUMMYFUNCTION("SPLIT(C332,""_"")"),427.0)</f>
        <v>427</v>
      </c>
      <c r="F332" s="23" t="str">
        <f>IFERROR(__xludf.DUMMYFUNCTION("""COMPUTED_VALUE"""),"April")</f>
        <v>April</v>
      </c>
      <c r="G332" s="23">
        <f>IFERROR(__xludf.DUMMYFUNCTION("""COMPUTED_VALUE"""),20.0)</f>
        <v>20</v>
      </c>
      <c r="H332" s="23" t="str">
        <f>IFERROR(__xludf.DUMMYFUNCTION("""COMPUTED_VALUE"""),"ABC0023")</f>
        <v>ABC0023</v>
      </c>
      <c r="I332" s="23">
        <f t="shared" si="1"/>
        <v>427</v>
      </c>
      <c r="J332" s="23">
        <f>Vlookup(B332,Product_Tab!$A$2:$C$16,3,FALSE)</f>
        <v>795</v>
      </c>
      <c r="K332" s="23">
        <f t="shared" si="2"/>
        <v>339465</v>
      </c>
      <c r="L332" s="24">
        <f>Vlookup(D332,Customer_Tab!$A$2:$C$10,3,FALSE)</f>
        <v>0.15</v>
      </c>
      <c r="M332" s="23">
        <f t="shared" si="3"/>
        <v>50919.75</v>
      </c>
      <c r="N332" s="25">
        <f t="shared" si="4"/>
        <v>288545.25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  <c r="E333" s="23">
        <f>IFERROR(__xludf.DUMMYFUNCTION("SPLIT(C333,""_"")"),351.0)</f>
        <v>351</v>
      </c>
      <c r="F333" s="23" t="str">
        <f>IFERROR(__xludf.DUMMYFUNCTION("""COMPUTED_VALUE"""),"April")</f>
        <v>April</v>
      </c>
      <c r="G333" s="23">
        <f>IFERROR(__xludf.DUMMYFUNCTION("""COMPUTED_VALUE"""),27.0)</f>
        <v>27</v>
      </c>
      <c r="H333" s="23" t="str">
        <f>IFERROR(__xludf.DUMMYFUNCTION("""COMPUTED_VALUE"""),"ABC0023")</f>
        <v>ABC0023</v>
      </c>
      <c r="I333" s="23">
        <f t="shared" si="1"/>
        <v>351</v>
      </c>
      <c r="J333" s="23">
        <f>Vlookup(B333,Product_Tab!$A$2:$C$16,3,FALSE)</f>
        <v>652</v>
      </c>
      <c r="K333" s="23">
        <f t="shared" si="2"/>
        <v>228852</v>
      </c>
      <c r="L333" s="24">
        <f>Vlookup(D333,Customer_Tab!$A$2:$C$10,3,FALSE)</f>
        <v>0.15</v>
      </c>
      <c r="M333" s="23">
        <f t="shared" si="3"/>
        <v>34327.8</v>
      </c>
      <c r="N333" s="25">
        <f t="shared" si="4"/>
        <v>194524.2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  <c r="E334" s="23">
        <f>IFERROR(__xludf.DUMMYFUNCTION("SPLIT(C334,""_"")"),493.0)</f>
        <v>493</v>
      </c>
      <c r="F334" s="23" t="str">
        <f>IFERROR(__xludf.DUMMYFUNCTION("""COMPUTED_VALUE"""),"April")</f>
        <v>April</v>
      </c>
      <c r="G334" s="23">
        <f>IFERROR(__xludf.DUMMYFUNCTION("""COMPUTED_VALUE"""),23.0)</f>
        <v>23</v>
      </c>
      <c r="H334" s="23" t="str">
        <f>IFERROR(__xludf.DUMMYFUNCTION("""COMPUTED_VALUE"""),"ABC0024")</f>
        <v>ABC0024</v>
      </c>
      <c r="I334" s="23">
        <f t="shared" si="1"/>
        <v>493</v>
      </c>
      <c r="J334" s="23">
        <f>Vlookup(B334,Product_Tab!$A$2:$C$16,3,FALSE)</f>
        <v>378</v>
      </c>
      <c r="K334" s="23">
        <f t="shared" si="2"/>
        <v>186354</v>
      </c>
      <c r="L334" s="24">
        <f>Vlookup(D334,Customer_Tab!$A$2:$C$10,3,FALSE)</f>
        <v>0.18</v>
      </c>
      <c r="M334" s="23">
        <f t="shared" si="3"/>
        <v>33543.72</v>
      </c>
      <c r="N334" s="25">
        <f t="shared" si="4"/>
        <v>152810.28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  <c r="E335" s="23">
        <f>IFERROR(__xludf.DUMMYFUNCTION("SPLIT(C335,""_"")"),365.0)</f>
        <v>365</v>
      </c>
      <c r="F335" s="23" t="str">
        <f>IFERROR(__xludf.DUMMYFUNCTION("""COMPUTED_VALUE"""),"April")</f>
        <v>April</v>
      </c>
      <c r="G335" s="23">
        <f>IFERROR(__xludf.DUMMYFUNCTION("""COMPUTED_VALUE"""),21.0)</f>
        <v>21</v>
      </c>
      <c r="H335" s="23" t="str">
        <f>IFERROR(__xludf.DUMMYFUNCTION("""COMPUTED_VALUE"""),"ABC0025")</f>
        <v>ABC0025</v>
      </c>
      <c r="I335" s="23">
        <f t="shared" si="1"/>
        <v>365</v>
      </c>
      <c r="J335" s="23">
        <f>Vlookup(B335,Product_Tab!$A$2:$C$16,3,FALSE)</f>
        <v>545</v>
      </c>
      <c r="K335" s="23">
        <f t="shared" si="2"/>
        <v>198925</v>
      </c>
      <c r="L335" s="24">
        <f>Vlookup(D335,Customer_Tab!$A$2:$C$10,3,FALSE)</f>
        <v>0.18</v>
      </c>
      <c r="M335" s="23">
        <f t="shared" si="3"/>
        <v>35806.5</v>
      </c>
      <c r="N335" s="25">
        <f t="shared" si="4"/>
        <v>163118.5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  <c r="E336" s="23">
        <f>IFERROR(__xludf.DUMMYFUNCTION("SPLIT(C336,""_"")"),243.0)</f>
        <v>243</v>
      </c>
      <c r="F336" s="23" t="str">
        <f>IFERROR(__xludf.DUMMYFUNCTION("""COMPUTED_VALUE"""),"April")</f>
        <v>April</v>
      </c>
      <c r="G336" s="23">
        <f>IFERROR(__xludf.DUMMYFUNCTION("""COMPUTED_VALUE"""),26.0)</f>
        <v>26</v>
      </c>
      <c r="H336" s="23" t="str">
        <f>IFERROR(__xludf.DUMMYFUNCTION("""COMPUTED_VALUE"""),"ABC0026")</f>
        <v>ABC0026</v>
      </c>
      <c r="I336" s="23">
        <f t="shared" si="1"/>
        <v>243</v>
      </c>
      <c r="J336" s="23">
        <f>Vlookup(B336,Product_Tab!$A$2:$C$16,3,FALSE)</f>
        <v>203</v>
      </c>
      <c r="K336" s="23">
        <f t="shared" si="2"/>
        <v>49329</v>
      </c>
      <c r="L336" s="24">
        <f>Vlookup(D336,Customer_Tab!$A$2:$C$10,3,FALSE)</f>
        <v>0.1</v>
      </c>
      <c r="M336" s="23">
        <f t="shared" si="3"/>
        <v>4932.9</v>
      </c>
      <c r="N336" s="25">
        <f t="shared" si="4"/>
        <v>44396.1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  <c r="E337" s="23">
        <f>IFERROR(__xludf.DUMMYFUNCTION("SPLIT(C337,""_"")"),383.0)</f>
        <v>383</v>
      </c>
      <c r="F337" s="23" t="str">
        <f>IFERROR(__xludf.DUMMYFUNCTION("""COMPUTED_VALUE"""),"April")</f>
        <v>April</v>
      </c>
      <c r="G337" s="23">
        <f>IFERROR(__xludf.DUMMYFUNCTION("""COMPUTED_VALUE"""),23.0)</f>
        <v>23</v>
      </c>
      <c r="H337" s="23" t="str">
        <f>IFERROR(__xludf.DUMMYFUNCTION("""COMPUTED_VALUE"""),"ABC0027")</f>
        <v>ABC0027</v>
      </c>
      <c r="I337" s="23">
        <f t="shared" si="1"/>
        <v>383</v>
      </c>
      <c r="J337" s="23">
        <f>Vlookup(B337,Product_Tab!$A$2:$C$16,3,FALSE)</f>
        <v>131</v>
      </c>
      <c r="K337" s="23">
        <f t="shared" si="2"/>
        <v>50173</v>
      </c>
      <c r="L337" s="24">
        <f>Vlookup(D337,Customer_Tab!$A$2:$C$10,3,FALSE)</f>
        <v>0.1</v>
      </c>
      <c r="M337" s="23">
        <f t="shared" si="3"/>
        <v>5017.3</v>
      </c>
      <c r="N337" s="25">
        <f t="shared" si="4"/>
        <v>45155.7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  <c r="E338" s="23">
        <f>IFERROR(__xludf.DUMMYFUNCTION("SPLIT(C338,""_"")"),305.0)</f>
        <v>305</v>
      </c>
      <c r="F338" s="23" t="str">
        <f>IFERROR(__xludf.DUMMYFUNCTION("""COMPUTED_VALUE"""),"April")</f>
        <v>April</v>
      </c>
      <c r="G338" s="23">
        <f>IFERROR(__xludf.DUMMYFUNCTION("""COMPUTED_VALUE"""),3.0)</f>
        <v>3</v>
      </c>
      <c r="H338" s="23" t="str">
        <f>IFERROR(__xludf.DUMMYFUNCTION("""COMPUTED_VALUE"""),"ABC0028")</f>
        <v>ABC0028</v>
      </c>
      <c r="I338" s="23">
        <f t="shared" si="1"/>
        <v>305</v>
      </c>
      <c r="J338" s="23">
        <f>Vlookup(B338,Product_Tab!$A$2:$C$16,3,FALSE)</f>
        <v>50</v>
      </c>
      <c r="K338" s="23">
        <f t="shared" si="2"/>
        <v>15250</v>
      </c>
      <c r="L338" s="24">
        <f>Vlookup(D338,Customer_Tab!$A$2:$C$10,3,FALSE)</f>
        <v>0.15</v>
      </c>
      <c r="M338" s="23">
        <f t="shared" si="3"/>
        <v>2287.5</v>
      </c>
      <c r="N338" s="25">
        <f t="shared" si="4"/>
        <v>12962.5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  <c r="E339" s="23">
        <f>IFERROR(__xludf.DUMMYFUNCTION("SPLIT(C339,""_"")"),494.0)</f>
        <v>494</v>
      </c>
      <c r="F339" s="23" t="str">
        <f>IFERROR(__xludf.DUMMYFUNCTION("""COMPUTED_VALUE"""),"April")</f>
        <v>April</v>
      </c>
      <c r="G339" s="23">
        <f>IFERROR(__xludf.DUMMYFUNCTION("""COMPUTED_VALUE"""),24.0)</f>
        <v>24</v>
      </c>
      <c r="H339" s="23" t="str">
        <f>IFERROR(__xludf.DUMMYFUNCTION("""COMPUTED_VALUE"""),"ABC0029")</f>
        <v>ABC0029</v>
      </c>
      <c r="I339" s="23">
        <f t="shared" si="1"/>
        <v>494</v>
      </c>
      <c r="J339" s="23">
        <f>Vlookup(B339,Product_Tab!$A$2:$C$16,3,FALSE)</f>
        <v>76</v>
      </c>
      <c r="K339" s="23">
        <f t="shared" si="2"/>
        <v>37544</v>
      </c>
      <c r="L339" s="24">
        <f>Vlookup(D339,Customer_Tab!$A$2:$C$10,3,FALSE)</f>
        <v>0.15</v>
      </c>
      <c r="M339" s="23">
        <f t="shared" si="3"/>
        <v>5631.6</v>
      </c>
      <c r="N339" s="25">
        <f t="shared" si="4"/>
        <v>31912.4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  <c r="E340" s="23">
        <f>IFERROR(__xludf.DUMMYFUNCTION("SPLIT(C340,""_"")"),288.0)</f>
        <v>288</v>
      </c>
      <c r="F340" s="23" t="str">
        <f>IFERROR(__xludf.DUMMYFUNCTION("""COMPUTED_VALUE"""),"April")</f>
        <v>April</v>
      </c>
      <c r="G340" s="23">
        <f>IFERROR(__xludf.DUMMYFUNCTION("""COMPUTED_VALUE"""),23.0)</f>
        <v>23</v>
      </c>
      <c r="H340" s="23" t="str">
        <f>IFERROR(__xludf.DUMMYFUNCTION("""COMPUTED_VALUE"""),"ABC0030")</f>
        <v>ABC0030</v>
      </c>
      <c r="I340" s="23">
        <f t="shared" si="1"/>
        <v>288</v>
      </c>
      <c r="J340" s="23">
        <f>Vlookup(B340,Product_Tab!$A$2:$C$16,3,FALSE)</f>
        <v>659</v>
      </c>
      <c r="K340" s="23">
        <f t="shared" si="2"/>
        <v>189792</v>
      </c>
      <c r="L340" s="24">
        <f>Vlookup(D340,Customer_Tab!$A$2:$C$10,3,FALSE)</f>
        <v>0.18</v>
      </c>
      <c r="M340" s="23">
        <f t="shared" si="3"/>
        <v>34162.56</v>
      </c>
      <c r="N340" s="25">
        <f t="shared" si="4"/>
        <v>155629.44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  <c r="E341" s="23">
        <f>IFERROR(__xludf.DUMMYFUNCTION("SPLIT(C341,""_"")"),325.0)</f>
        <v>325</v>
      </c>
      <c r="F341" s="23" t="str">
        <f>IFERROR(__xludf.DUMMYFUNCTION("""COMPUTED_VALUE"""),"April")</f>
        <v>April</v>
      </c>
      <c r="G341" s="23">
        <f>IFERROR(__xludf.DUMMYFUNCTION("""COMPUTED_VALUE"""),14.0)</f>
        <v>14</v>
      </c>
      <c r="H341" s="23" t="str">
        <f>IFERROR(__xludf.DUMMYFUNCTION("""COMPUTED_VALUE"""),"ABC0031")</f>
        <v>ABC0031</v>
      </c>
      <c r="I341" s="23">
        <f t="shared" si="1"/>
        <v>325</v>
      </c>
      <c r="J341" s="23">
        <f>Vlookup(B341,Product_Tab!$A$2:$C$16,3,FALSE)</f>
        <v>286</v>
      </c>
      <c r="K341" s="23">
        <f t="shared" si="2"/>
        <v>92950</v>
      </c>
      <c r="L341" s="24">
        <f>Vlookup(D341,Customer_Tab!$A$2:$C$10,3,FALSE)</f>
        <v>0.18</v>
      </c>
      <c r="M341" s="23">
        <f t="shared" si="3"/>
        <v>16731</v>
      </c>
      <c r="N341" s="25">
        <f t="shared" si="4"/>
        <v>76219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  <c r="E342" s="23">
        <f>IFERROR(__xludf.DUMMYFUNCTION("SPLIT(C342,""_"")"),418.0)</f>
        <v>418</v>
      </c>
      <c r="F342" s="23" t="str">
        <f>IFERROR(__xludf.DUMMYFUNCTION("""COMPUTED_VALUE"""),"April")</f>
        <v>April</v>
      </c>
      <c r="G342" s="23">
        <f>IFERROR(__xludf.DUMMYFUNCTION("""COMPUTED_VALUE"""),30.0)</f>
        <v>30</v>
      </c>
      <c r="H342" s="23" t="str">
        <f>IFERROR(__xludf.DUMMYFUNCTION("""COMPUTED_VALUE"""),"ABC0023")</f>
        <v>ABC0023</v>
      </c>
      <c r="I342" s="23">
        <f t="shared" si="1"/>
        <v>418</v>
      </c>
      <c r="J342" s="23">
        <f>Vlookup(B342,Product_Tab!$A$2:$C$16,3,FALSE)</f>
        <v>223</v>
      </c>
      <c r="K342" s="23">
        <f t="shared" si="2"/>
        <v>93214</v>
      </c>
      <c r="L342" s="24">
        <f>Vlookup(D342,Customer_Tab!$A$2:$C$10,3,FALSE)</f>
        <v>0.1</v>
      </c>
      <c r="M342" s="23">
        <f t="shared" si="3"/>
        <v>9321.4</v>
      </c>
      <c r="N342" s="25">
        <f t="shared" si="4"/>
        <v>83892.6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  <c r="E343" s="23">
        <f>IFERROR(__xludf.DUMMYFUNCTION("SPLIT(C343,""_"")"),230.0)</f>
        <v>230</v>
      </c>
      <c r="F343" s="23" t="str">
        <f>IFERROR(__xludf.DUMMYFUNCTION("""COMPUTED_VALUE"""),"April")</f>
        <v>April</v>
      </c>
      <c r="G343" s="23">
        <f>IFERROR(__xludf.DUMMYFUNCTION("""COMPUTED_VALUE"""),14.0)</f>
        <v>14</v>
      </c>
      <c r="H343" s="23" t="str">
        <f>IFERROR(__xludf.DUMMYFUNCTION("""COMPUTED_VALUE"""),"ABC0024")</f>
        <v>ABC0024</v>
      </c>
      <c r="I343" s="23">
        <f t="shared" si="1"/>
        <v>230</v>
      </c>
      <c r="J343" s="23">
        <f>Vlookup(B343,Product_Tab!$A$2:$C$16,3,FALSE)</f>
        <v>721</v>
      </c>
      <c r="K343" s="23">
        <f t="shared" si="2"/>
        <v>165830</v>
      </c>
      <c r="L343" s="24">
        <f>Vlookup(D343,Customer_Tab!$A$2:$C$10,3,FALSE)</f>
        <v>0.1</v>
      </c>
      <c r="M343" s="23">
        <f t="shared" si="3"/>
        <v>16583</v>
      </c>
      <c r="N343" s="25">
        <f t="shared" si="4"/>
        <v>149247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  <c r="E344" s="23">
        <f>IFERROR(__xludf.DUMMYFUNCTION("SPLIT(C344,""_"")"),261.0)</f>
        <v>261</v>
      </c>
      <c r="F344" s="23" t="str">
        <f>IFERROR(__xludf.DUMMYFUNCTION("""COMPUTED_VALUE"""),"April")</f>
        <v>April</v>
      </c>
      <c r="G344" s="23">
        <f>IFERROR(__xludf.DUMMYFUNCTION("""COMPUTED_VALUE"""),22.0)</f>
        <v>22</v>
      </c>
      <c r="H344" s="23" t="str">
        <f>IFERROR(__xludf.DUMMYFUNCTION("""COMPUTED_VALUE"""),"ABC0025")</f>
        <v>ABC0025</v>
      </c>
      <c r="I344" s="23">
        <f t="shared" si="1"/>
        <v>261</v>
      </c>
      <c r="J344" s="23">
        <f>Vlookup(B344,Product_Tab!$A$2:$C$16,3,FALSE)</f>
        <v>273</v>
      </c>
      <c r="K344" s="23">
        <f t="shared" si="2"/>
        <v>71253</v>
      </c>
      <c r="L344" s="24">
        <f>Vlookup(D344,Customer_Tab!$A$2:$C$10,3,FALSE)</f>
        <v>0.15</v>
      </c>
      <c r="M344" s="23">
        <f t="shared" si="3"/>
        <v>10687.95</v>
      </c>
      <c r="N344" s="25">
        <f t="shared" si="4"/>
        <v>60565.05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  <c r="E345" s="23">
        <f>IFERROR(__xludf.DUMMYFUNCTION("SPLIT(C345,""_"")"),365.0)</f>
        <v>365</v>
      </c>
      <c r="F345" s="23" t="str">
        <f>IFERROR(__xludf.DUMMYFUNCTION("""COMPUTED_VALUE"""),"April")</f>
        <v>April</v>
      </c>
      <c r="G345" s="23">
        <f>IFERROR(__xludf.DUMMYFUNCTION("""COMPUTED_VALUE"""),15.0)</f>
        <v>15</v>
      </c>
      <c r="H345" s="23" t="str">
        <f>IFERROR(__xludf.DUMMYFUNCTION("""COMPUTED_VALUE"""),"ABC0026")</f>
        <v>ABC0026</v>
      </c>
      <c r="I345" s="23">
        <f t="shared" si="1"/>
        <v>365</v>
      </c>
      <c r="J345" s="23">
        <f>Vlookup(B345,Product_Tab!$A$2:$C$16,3,FALSE)</f>
        <v>151</v>
      </c>
      <c r="K345" s="23">
        <f t="shared" si="2"/>
        <v>55115</v>
      </c>
      <c r="L345" s="24">
        <f>Vlookup(D345,Customer_Tab!$A$2:$C$10,3,FALSE)</f>
        <v>0.1</v>
      </c>
      <c r="M345" s="23">
        <f t="shared" si="3"/>
        <v>5511.5</v>
      </c>
      <c r="N345" s="25">
        <f t="shared" si="4"/>
        <v>49603.5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  <c r="E346" s="23">
        <f>IFERROR(__xludf.DUMMYFUNCTION("SPLIT(C346,""_"")"),451.0)</f>
        <v>451</v>
      </c>
      <c r="F346" s="23" t="str">
        <f>IFERROR(__xludf.DUMMYFUNCTION("""COMPUTED_VALUE"""),"April")</f>
        <v>April</v>
      </c>
      <c r="G346" s="23">
        <f>IFERROR(__xludf.DUMMYFUNCTION("""COMPUTED_VALUE"""),21.0)</f>
        <v>21</v>
      </c>
      <c r="H346" s="23" t="str">
        <f>IFERROR(__xludf.DUMMYFUNCTION("""COMPUTED_VALUE"""),"ABC0027")</f>
        <v>ABC0027</v>
      </c>
      <c r="I346" s="23">
        <f t="shared" si="1"/>
        <v>451</v>
      </c>
      <c r="J346" s="23">
        <f>Vlookup(B346,Product_Tab!$A$2:$C$16,3,FALSE)</f>
        <v>421</v>
      </c>
      <c r="K346" s="23">
        <f t="shared" si="2"/>
        <v>189871</v>
      </c>
      <c r="L346" s="24">
        <f>Vlookup(D346,Customer_Tab!$A$2:$C$10,3,FALSE)</f>
        <v>0.1</v>
      </c>
      <c r="M346" s="23">
        <f t="shared" si="3"/>
        <v>18987.1</v>
      </c>
      <c r="N346" s="25">
        <f t="shared" si="4"/>
        <v>170883.9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  <c r="E347" s="23">
        <f>IFERROR(__xludf.DUMMYFUNCTION("SPLIT(C347,""_"")"),329.0)</f>
        <v>329</v>
      </c>
      <c r="F347" s="23" t="str">
        <f>IFERROR(__xludf.DUMMYFUNCTION("""COMPUTED_VALUE"""),"April")</f>
        <v>April</v>
      </c>
      <c r="G347" s="23">
        <f>IFERROR(__xludf.DUMMYFUNCTION("""COMPUTED_VALUE"""),17.0)</f>
        <v>17</v>
      </c>
      <c r="H347" s="23" t="str">
        <f>IFERROR(__xludf.DUMMYFUNCTION("""COMPUTED_VALUE"""),"ABC0028")</f>
        <v>ABC0028</v>
      </c>
      <c r="I347" s="23">
        <f t="shared" si="1"/>
        <v>329</v>
      </c>
      <c r="J347" s="23">
        <f>Vlookup(B347,Product_Tab!$A$2:$C$16,3,FALSE)</f>
        <v>795</v>
      </c>
      <c r="K347" s="23">
        <f t="shared" si="2"/>
        <v>261555</v>
      </c>
      <c r="L347" s="24">
        <f>Vlookup(D347,Customer_Tab!$A$2:$C$10,3,FALSE)</f>
        <v>0.15</v>
      </c>
      <c r="M347" s="23">
        <f t="shared" si="3"/>
        <v>39233.25</v>
      </c>
      <c r="N347" s="25">
        <f t="shared" si="4"/>
        <v>222321.75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  <c r="E348" s="23">
        <f>IFERROR(__xludf.DUMMYFUNCTION("SPLIT(C348,""_"")"),399.0)</f>
        <v>399</v>
      </c>
      <c r="F348" s="23" t="str">
        <f>IFERROR(__xludf.DUMMYFUNCTION("""COMPUTED_VALUE"""),"April")</f>
        <v>April</v>
      </c>
      <c r="G348" s="23">
        <f>IFERROR(__xludf.DUMMYFUNCTION("""COMPUTED_VALUE"""),27.0)</f>
        <v>27</v>
      </c>
      <c r="H348" s="23" t="str">
        <f>IFERROR(__xludf.DUMMYFUNCTION("""COMPUTED_VALUE"""),"ABC0031")</f>
        <v>ABC0031</v>
      </c>
      <c r="I348" s="23">
        <f t="shared" si="1"/>
        <v>399</v>
      </c>
      <c r="J348" s="23">
        <f>Vlookup(B348,Product_Tab!$A$2:$C$16,3,FALSE)</f>
        <v>151</v>
      </c>
      <c r="K348" s="23">
        <f t="shared" si="2"/>
        <v>60249</v>
      </c>
      <c r="L348" s="24">
        <f>Vlookup(D348,Customer_Tab!$A$2:$C$10,3,FALSE)</f>
        <v>0.18</v>
      </c>
      <c r="M348" s="23">
        <f t="shared" si="3"/>
        <v>10844.82</v>
      </c>
      <c r="N348" s="25">
        <f t="shared" si="4"/>
        <v>49404.18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  <c r="E349" s="23">
        <f>IFERROR(__xludf.DUMMYFUNCTION("SPLIT(C349,""_"")"),406.0)</f>
        <v>406</v>
      </c>
      <c r="F349" s="23" t="str">
        <f>IFERROR(__xludf.DUMMYFUNCTION("""COMPUTED_VALUE"""),"April")</f>
        <v>April</v>
      </c>
      <c r="G349" s="23">
        <f>IFERROR(__xludf.DUMMYFUNCTION("""COMPUTED_VALUE"""),28.0)</f>
        <v>28</v>
      </c>
      <c r="H349" s="23" t="str">
        <f>IFERROR(__xludf.DUMMYFUNCTION("""COMPUTED_VALUE"""),"ABC0023")</f>
        <v>ABC0023</v>
      </c>
      <c r="I349" s="23">
        <f t="shared" si="1"/>
        <v>406</v>
      </c>
      <c r="J349" s="23">
        <f>Vlookup(B349,Product_Tab!$A$2:$C$16,3,FALSE)</f>
        <v>421</v>
      </c>
      <c r="K349" s="23">
        <f t="shared" si="2"/>
        <v>170926</v>
      </c>
      <c r="L349" s="24">
        <f>Vlookup(D349,Customer_Tab!$A$2:$C$10,3,FALSE)</f>
        <v>0.1</v>
      </c>
      <c r="M349" s="23">
        <f t="shared" si="3"/>
        <v>17092.6</v>
      </c>
      <c r="N349" s="25">
        <f t="shared" si="4"/>
        <v>153833.4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  <c r="E350" s="23">
        <f>IFERROR(__xludf.DUMMYFUNCTION("SPLIT(C350,""_"")"),383.0)</f>
        <v>383</v>
      </c>
      <c r="F350" s="23" t="str">
        <f>IFERROR(__xludf.DUMMYFUNCTION("""COMPUTED_VALUE"""),"April")</f>
        <v>April</v>
      </c>
      <c r="G350" s="23">
        <f>IFERROR(__xludf.DUMMYFUNCTION("""COMPUTED_VALUE"""),2.0)</f>
        <v>2</v>
      </c>
      <c r="H350" s="23" t="str">
        <f>IFERROR(__xludf.DUMMYFUNCTION("""COMPUTED_VALUE"""),"ABC0024")</f>
        <v>ABC0024</v>
      </c>
      <c r="I350" s="23">
        <f t="shared" si="1"/>
        <v>383</v>
      </c>
      <c r="J350" s="23">
        <f>Vlookup(B350,Product_Tab!$A$2:$C$16,3,FALSE)</f>
        <v>795</v>
      </c>
      <c r="K350" s="23">
        <f t="shared" si="2"/>
        <v>304485</v>
      </c>
      <c r="L350" s="24">
        <f>Vlookup(D350,Customer_Tab!$A$2:$C$10,3,FALSE)</f>
        <v>0.15</v>
      </c>
      <c r="M350" s="23">
        <f t="shared" si="3"/>
        <v>45672.75</v>
      </c>
      <c r="N350" s="25">
        <f t="shared" si="4"/>
        <v>258812.25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  <c r="E351" s="23">
        <f>IFERROR(__xludf.DUMMYFUNCTION("SPLIT(C351,""_"")"),461.0)</f>
        <v>461</v>
      </c>
      <c r="F351" s="23" t="str">
        <f>IFERROR(__xludf.DUMMYFUNCTION("""COMPUTED_VALUE"""),"April")</f>
        <v>April</v>
      </c>
      <c r="G351" s="23">
        <f>IFERROR(__xludf.DUMMYFUNCTION("""COMPUTED_VALUE"""),13.0)</f>
        <v>13</v>
      </c>
      <c r="H351" s="23" t="str">
        <f>IFERROR(__xludf.DUMMYFUNCTION("""COMPUTED_VALUE"""),"ABC0025")</f>
        <v>ABC0025</v>
      </c>
      <c r="I351" s="23">
        <f t="shared" si="1"/>
        <v>461</v>
      </c>
      <c r="J351" s="23">
        <f>Vlookup(B351,Product_Tab!$A$2:$C$16,3,FALSE)</f>
        <v>652</v>
      </c>
      <c r="K351" s="23">
        <f t="shared" si="2"/>
        <v>300572</v>
      </c>
      <c r="L351" s="24">
        <f>Vlookup(D351,Customer_Tab!$A$2:$C$10,3,FALSE)</f>
        <v>0.15</v>
      </c>
      <c r="M351" s="23">
        <f t="shared" si="3"/>
        <v>45085.8</v>
      </c>
      <c r="N351" s="25">
        <f t="shared" si="4"/>
        <v>255486.2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  <c r="E352" s="23">
        <f>IFERROR(__xludf.DUMMYFUNCTION("SPLIT(C352,""_"")"),493.0)</f>
        <v>493</v>
      </c>
      <c r="F352" s="23" t="str">
        <f>IFERROR(__xludf.DUMMYFUNCTION("""COMPUTED_VALUE"""),"April")</f>
        <v>April</v>
      </c>
      <c r="G352" s="23">
        <f>IFERROR(__xludf.DUMMYFUNCTION("""COMPUTED_VALUE"""),7.0)</f>
        <v>7</v>
      </c>
      <c r="H352" s="23" t="str">
        <f>IFERROR(__xludf.DUMMYFUNCTION("""COMPUTED_VALUE"""),"ABC0026")</f>
        <v>ABC0026</v>
      </c>
      <c r="I352" s="23">
        <f t="shared" si="1"/>
        <v>493</v>
      </c>
      <c r="J352" s="23">
        <f>Vlookup(B352,Product_Tab!$A$2:$C$16,3,FALSE)</f>
        <v>378</v>
      </c>
      <c r="K352" s="23">
        <f t="shared" si="2"/>
        <v>186354</v>
      </c>
      <c r="L352" s="24">
        <f>Vlookup(D352,Customer_Tab!$A$2:$C$10,3,FALSE)</f>
        <v>0.18</v>
      </c>
      <c r="M352" s="23">
        <f t="shared" si="3"/>
        <v>33543.72</v>
      </c>
      <c r="N352" s="25">
        <f t="shared" si="4"/>
        <v>152810.28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  <c r="E353" s="23">
        <f>IFERROR(__xludf.DUMMYFUNCTION("SPLIT(C353,""_"")"),462.0)</f>
        <v>462</v>
      </c>
      <c r="F353" s="23" t="str">
        <f>IFERROR(__xludf.DUMMYFUNCTION("""COMPUTED_VALUE"""),"April")</f>
        <v>April</v>
      </c>
      <c r="G353" s="23">
        <f>IFERROR(__xludf.DUMMYFUNCTION("""COMPUTED_VALUE"""),10.0)</f>
        <v>10</v>
      </c>
      <c r="H353" s="23" t="str">
        <f>IFERROR(__xludf.DUMMYFUNCTION("""COMPUTED_VALUE"""),"ABC0027")</f>
        <v>ABC0027</v>
      </c>
      <c r="I353" s="23">
        <f t="shared" si="1"/>
        <v>462</v>
      </c>
      <c r="J353" s="23">
        <f>Vlookup(B353,Product_Tab!$A$2:$C$16,3,FALSE)</f>
        <v>545</v>
      </c>
      <c r="K353" s="23">
        <f t="shared" si="2"/>
        <v>251790</v>
      </c>
      <c r="L353" s="24">
        <f>Vlookup(D353,Customer_Tab!$A$2:$C$10,3,FALSE)</f>
        <v>0.18</v>
      </c>
      <c r="M353" s="23">
        <f t="shared" si="3"/>
        <v>45322.2</v>
      </c>
      <c r="N353" s="25">
        <f t="shared" si="4"/>
        <v>206467.8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  <c r="E354" s="23">
        <f>IFERROR(__xludf.DUMMYFUNCTION("SPLIT(C354,""_"")"),341.0)</f>
        <v>341</v>
      </c>
      <c r="F354" s="23" t="str">
        <f>IFERROR(__xludf.DUMMYFUNCTION("""COMPUTED_VALUE"""),"April")</f>
        <v>April</v>
      </c>
      <c r="G354" s="23">
        <f>IFERROR(__xludf.DUMMYFUNCTION("""COMPUTED_VALUE"""),17.0)</f>
        <v>17</v>
      </c>
      <c r="H354" s="23" t="str">
        <f>IFERROR(__xludf.DUMMYFUNCTION("""COMPUTED_VALUE"""),"ABC0028")</f>
        <v>ABC0028</v>
      </c>
      <c r="I354" s="23">
        <f t="shared" si="1"/>
        <v>341</v>
      </c>
      <c r="J354" s="23">
        <f>Vlookup(B354,Product_Tab!$A$2:$C$16,3,FALSE)</f>
        <v>203</v>
      </c>
      <c r="K354" s="23">
        <f t="shared" si="2"/>
        <v>69223</v>
      </c>
      <c r="L354" s="24">
        <f>Vlookup(D354,Customer_Tab!$A$2:$C$10,3,FALSE)</f>
        <v>0.1</v>
      </c>
      <c r="M354" s="23">
        <f t="shared" si="3"/>
        <v>6922.3</v>
      </c>
      <c r="N354" s="25">
        <f t="shared" si="4"/>
        <v>62300.7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  <c r="E355" s="23">
        <f>IFERROR(__xludf.DUMMYFUNCTION("SPLIT(C355,""_"")"),449.0)</f>
        <v>449</v>
      </c>
      <c r="F355" s="23" t="str">
        <f>IFERROR(__xludf.DUMMYFUNCTION("""COMPUTED_VALUE"""),"April")</f>
        <v>April</v>
      </c>
      <c r="G355" s="23">
        <f>IFERROR(__xludf.DUMMYFUNCTION("""COMPUTED_VALUE"""),25.0)</f>
        <v>25</v>
      </c>
      <c r="H355" s="23" t="str">
        <f>IFERROR(__xludf.DUMMYFUNCTION("""COMPUTED_VALUE"""),"ABC0031")</f>
        <v>ABC0031</v>
      </c>
      <c r="I355" s="23">
        <f t="shared" si="1"/>
        <v>449</v>
      </c>
      <c r="J355" s="23">
        <f>Vlookup(B355,Product_Tab!$A$2:$C$16,3,FALSE)</f>
        <v>131</v>
      </c>
      <c r="K355" s="23">
        <f t="shared" si="2"/>
        <v>58819</v>
      </c>
      <c r="L355" s="24">
        <f>Vlookup(D355,Customer_Tab!$A$2:$C$10,3,FALSE)</f>
        <v>0.1</v>
      </c>
      <c r="M355" s="23">
        <f t="shared" si="3"/>
        <v>5881.9</v>
      </c>
      <c r="N355" s="25">
        <f t="shared" si="4"/>
        <v>52937.1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  <c r="E356" s="23">
        <f>IFERROR(__xludf.DUMMYFUNCTION("SPLIT(C356,""_"")"),273.0)</f>
        <v>273</v>
      </c>
      <c r="F356" s="23" t="str">
        <f>IFERROR(__xludf.DUMMYFUNCTION("""COMPUTED_VALUE"""),"April")</f>
        <v>April</v>
      </c>
      <c r="G356" s="23">
        <f>IFERROR(__xludf.DUMMYFUNCTION("""COMPUTED_VALUE"""),21.0)</f>
        <v>21</v>
      </c>
      <c r="H356" s="23" t="str">
        <f>IFERROR(__xludf.DUMMYFUNCTION("""COMPUTED_VALUE"""),"ABC0023")</f>
        <v>ABC0023</v>
      </c>
      <c r="I356" s="23">
        <f t="shared" si="1"/>
        <v>273</v>
      </c>
      <c r="J356" s="23">
        <f>Vlookup(B356,Product_Tab!$A$2:$C$16,3,FALSE)</f>
        <v>50</v>
      </c>
      <c r="K356" s="23">
        <f t="shared" si="2"/>
        <v>13650</v>
      </c>
      <c r="L356" s="24">
        <f>Vlookup(D356,Customer_Tab!$A$2:$C$10,3,FALSE)</f>
        <v>0.15</v>
      </c>
      <c r="M356" s="23">
        <f t="shared" si="3"/>
        <v>2047.5</v>
      </c>
      <c r="N356" s="25">
        <f t="shared" si="4"/>
        <v>11602.5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  <c r="E357" s="23">
        <f>IFERROR(__xludf.DUMMYFUNCTION("SPLIT(C357,""_"")"),459.0)</f>
        <v>459</v>
      </c>
      <c r="F357" s="23" t="str">
        <f>IFERROR(__xludf.DUMMYFUNCTION("""COMPUTED_VALUE"""),"April")</f>
        <v>April</v>
      </c>
      <c r="G357" s="23">
        <f>IFERROR(__xludf.DUMMYFUNCTION("""COMPUTED_VALUE"""),12.0)</f>
        <v>12</v>
      </c>
      <c r="H357" s="23" t="str">
        <f>IFERROR(__xludf.DUMMYFUNCTION("""COMPUTED_VALUE"""),"ABC0024")</f>
        <v>ABC0024</v>
      </c>
      <c r="I357" s="23">
        <f t="shared" si="1"/>
        <v>459</v>
      </c>
      <c r="J357" s="23">
        <f>Vlookup(B357,Product_Tab!$A$2:$C$16,3,FALSE)</f>
        <v>76</v>
      </c>
      <c r="K357" s="23">
        <f t="shared" si="2"/>
        <v>34884</v>
      </c>
      <c r="L357" s="24">
        <f>Vlookup(D357,Customer_Tab!$A$2:$C$10,3,FALSE)</f>
        <v>0.15</v>
      </c>
      <c r="M357" s="23">
        <f t="shared" si="3"/>
        <v>5232.6</v>
      </c>
      <c r="N357" s="25">
        <f t="shared" si="4"/>
        <v>29651.4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  <c r="E358" s="23">
        <f>IFERROR(__xludf.DUMMYFUNCTION("SPLIT(C358,""_"")"),284.0)</f>
        <v>284</v>
      </c>
      <c r="F358" s="23" t="str">
        <f>IFERROR(__xludf.DUMMYFUNCTION("""COMPUTED_VALUE"""),"April")</f>
        <v>April</v>
      </c>
      <c r="G358" s="23">
        <f>IFERROR(__xludf.DUMMYFUNCTION("""COMPUTED_VALUE"""),13.0)</f>
        <v>13</v>
      </c>
      <c r="H358" s="23" t="str">
        <f>IFERROR(__xludf.DUMMYFUNCTION("""COMPUTED_VALUE"""),"ABC0025")</f>
        <v>ABC0025</v>
      </c>
      <c r="I358" s="23">
        <f t="shared" si="1"/>
        <v>284</v>
      </c>
      <c r="J358" s="23">
        <f>Vlookup(B358,Product_Tab!$A$2:$C$16,3,FALSE)</f>
        <v>659</v>
      </c>
      <c r="K358" s="23">
        <f t="shared" si="2"/>
        <v>187156</v>
      </c>
      <c r="L358" s="24">
        <f>Vlookup(D358,Customer_Tab!$A$2:$C$10,3,FALSE)</f>
        <v>0.18</v>
      </c>
      <c r="M358" s="23">
        <f t="shared" si="3"/>
        <v>33688.08</v>
      </c>
      <c r="N358" s="25">
        <f t="shared" si="4"/>
        <v>153467.92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  <c r="E359" s="23">
        <f>IFERROR(__xludf.DUMMYFUNCTION("SPLIT(C359,""_"")"),261.0)</f>
        <v>261</v>
      </c>
      <c r="F359" s="23" t="str">
        <f>IFERROR(__xludf.DUMMYFUNCTION("""COMPUTED_VALUE"""),"April")</f>
        <v>April</v>
      </c>
      <c r="G359" s="23">
        <f>IFERROR(__xludf.DUMMYFUNCTION("""COMPUTED_VALUE"""),11.0)</f>
        <v>11</v>
      </c>
      <c r="H359" s="23" t="str">
        <f>IFERROR(__xludf.DUMMYFUNCTION("""COMPUTED_VALUE"""),"ABC0026")</f>
        <v>ABC0026</v>
      </c>
      <c r="I359" s="23">
        <f t="shared" si="1"/>
        <v>261</v>
      </c>
      <c r="J359" s="23">
        <f>Vlookup(B359,Product_Tab!$A$2:$C$16,3,FALSE)</f>
        <v>286</v>
      </c>
      <c r="K359" s="23">
        <f t="shared" si="2"/>
        <v>74646</v>
      </c>
      <c r="L359" s="24">
        <f>Vlookup(D359,Customer_Tab!$A$2:$C$10,3,FALSE)</f>
        <v>0.1</v>
      </c>
      <c r="M359" s="23">
        <f t="shared" si="3"/>
        <v>7464.6</v>
      </c>
      <c r="N359" s="25">
        <f t="shared" si="4"/>
        <v>67181.4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  <c r="E360" s="23">
        <f>IFERROR(__xludf.DUMMYFUNCTION("SPLIT(C360,""_"")"),318.0)</f>
        <v>318</v>
      </c>
      <c r="F360" s="23" t="str">
        <f>IFERROR(__xludf.DUMMYFUNCTION("""COMPUTED_VALUE"""),"April")</f>
        <v>April</v>
      </c>
      <c r="G360" s="23">
        <f>IFERROR(__xludf.DUMMYFUNCTION("""COMPUTED_VALUE"""),14.0)</f>
        <v>14</v>
      </c>
      <c r="H360" s="23" t="str">
        <f>IFERROR(__xludf.DUMMYFUNCTION("""COMPUTED_VALUE"""),"ABC0027")</f>
        <v>ABC0027</v>
      </c>
      <c r="I360" s="23">
        <f t="shared" si="1"/>
        <v>318</v>
      </c>
      <c r="J360" s="23">
        <f>Vlookup(B360,Product_Tab!$A$2:$C$16,3,FALSE)</f>
        <v>223</v>
      </c>
      <c r="K360" s="23">
        <f t="shared" si="2"/>
        <v>70914</v>
      </c>
      <c r="L360" s="24">
        <f>Vlookup(D360,Customer_Tab!$A$2:$C$10,3,FALSE)</f>
        <v>0.15</v>
      </c>
      <c r="M360" s="23">
        <f t="shared" si="3"/>
        <v>10637.1</v>
      </c>
      <c r="N360" s="25">
        <f t="shared" si="4"/>
        <v>60276.9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  <c r="E361" s="23">
        <f>IFERROR(__xludf.DUMMYFUNCTION("SPLIT(C361,""_"")"),497.0)</f>
        <v>497</v>
      </c>
      <c r="F361" s="23" t="str">
        <f>IFERROR(__xludf.DUMMYFUNCTION("""COMPUTED_VALUE"""),"April")</f>
        <v>April</v>
      </c>
      <c r="G361" s="23">
        <f>IFERROR(__xludf.DUMMYFUNCTION("""COMPUTED_VALUE"""),2.0)</f>
        <v>2</v>
      </c>
      <c r="H361" s="23" t="str">
        <f>IFERROR(__xludf.DUMMYFUNCTION("""COMPUTED_VALUE"""),"ABC0028")</f>
        <v>ABC0028</v>
      </c>
      <c r="I361" s="23">
        <f t="shared" si="1"/>
        <v>497</v>
      </c>
      <c r="J361" s="23">
        <f>Vlookup(B361,Product_Tab!$A$2:$C$16,3,FALSE)</f>
        <v>721</v>
      </c>
      <c r="K361" s="23">
        <f t="shared" si="2"/>
        <v>358337</v>
      </c>
      <c r="L361" s="24">
        <f>Vlookup(D361,Customer_Tab!$A$2:$C$10,3,FALSE)</f>
        <v>0.15</v>
      </c>
      <c r="M361" s="23">
        <f t="shared" si="3"/>
        <v>53750.55</v>
      </c>
      <c r="N361" s="25">
        <f t="shared" si="4"/>
        <v>304586.45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  <c r="E362" s="23">
        <f>IFERROR(__xludf.DUMMYFUNCTION("SPLIT(C362,""_"")"),468.0)</f>
        <v>468</v>
      </c>
      <c r="F362" s="23" t="str">
        <f>IFERROR(__xludf.DUMMYFUNCTION("""COMPUTED_VALUE"""),"April")</f>
        <v>April</v>
      </c>
      <c r="G362" s="23">
        <f>IFERROR(__xludf.DUMMYFUNCTION("""COMPUTED_VALUE"""),18.0)</f>
        <v>18</v>
      </c>
      <c r="H362" s="23" t="str">
        <f>IFERROR(__xludf.DUMMYFUNCTION("""COMPUTED_VALUE"""),"ABC0031")</f>
        <v>ABC0031</v>
      </c>
      <c r="I362" s="23">
        <f t="shared" si="1"/>
        <v>468</v>
      </c>
      <c r="J362" s="23">
        <f>Vlookup(B362,Product_Tab!$A$2:$C$16,3,FALSE)</f>
        <v>273</v>
      </c>
      <c r="K362" s="23">
        <f t="shared" si="2"/>
        <v>127764</v>
      </c>
      <c r="L362" s="24">
        <f>Vlookup(D362,Customer_Tab!$A$2:$C$10,3,FALSE)</f>
        <v>0.18</v>
      </c>
      <c r="M362" s="23">
        <f t="shared" si="3"/>
        <v>22997.52</v>
      </c>
      <c r="N362" s="25">
        <f t="shared" si="4"/>
        <v>104766.48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  <c r="E363" s="23">
        <f>IFERROR(__xludf.DUMMYFUNCTION("SPLIT(C363,""_"")"),218.0)</f>
        <v>218</v>
      </c>
      <c r="F363" s="23" t="str">
        <f>IFERROR(__xludf.DUMMYFUNCTION("""COMPUTED_VALUE"""),"April")</f>
        <v>April</v>
      </c>
      <c r="G363" s="23">
        <f>IFERROR(__xludf.DUMMYFUNCTION("""COMPUTED_VALUE"""),20.0)</f>
        <v>20</v>
      </c>
      <c r="H363" s="23" t="str">
        <f>IFERROR(__xludf.DUMMYFUNCTION("""COMPUTED_VALUE"""),"ABC0023")</f>
        <v>ABC0023</v>
      </c>
      <c r="I363" s="23">
        <f t="shared" si="1"/>
        <v>218</v>
      </c>
      <c r="J363" s="23">
        <f>Vlookup(B363,Product_Tab!$A$2:$C$16,3,FALSE)</f>
        <v>151</v>
      </c>
      <c r="K363" s="23">
        <f t="shared" si="2"/>
        <v>32918</v>
      </c>
      <c r="L363" s="24">
        <f>Vlookup(D363,Customer_Tab!$A$2:$C$10,3,FALSE)</f>
        <v>0.18</v>
      </c>
      <c r="M363" s="23">
        <f t="shared" si="3"/>
        <v>5925.24</v>
      </c>
      <c r="N363" s="25">
        <f t="shared" si="4"/>
        <v>26992.76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  <c r="E364" s="23">
        <f>IFERROR(__xludf.DUMMYFUNCTION("SPLIT(C364,""_"")"),229.0)</f>
        <v>229</v>
      </c>
      <c r="F364" s="23" t="str">
        <f>IFERROR(__xludf.DUMMYFUNCTION("""COMPUTED_VALUE"""),"April")</f>
        <v>April</v>
      </c>
      <c r="G364" s="23">
        <f>IFERROR(__xludf.DUMMYFUNCTION("""COMPUTED_VALUE"""),30.0)</f>
        <v>30</v>
      </c>
      <c r="H364" s="23" t="str">
        <f>IFERROR(__xludf.DUMMYFUNCTION("""COMPUTED_VALUE"""),"ABC0024")</f>
        <v>ABC0024</v>
      </c>
      <c r="I364" s="23">
        <f t="shared" si="1"/>
        <v>229</v>
      </c>
      <c r="J364" s="23">
        <f>Vlookup(B364,Product_Tab!$A$2:$C$16,3,FALSE)</f>
        <v>421</v>
      </c>
      <c r="K364" s="23">
        <f t="shared" si="2"/>
        <v>96409</v>
      </c>
      <c r="L364" s="24">
        <f>Vlookup(D364,Customer_Tab!$A$2:$C$10,3,FALSE)</f>
        <v>0.1</v>
      </c>
      <c r="M364" s="23">
        <f t="shared" si="3"/>
        <v>9640.9</v>
      </c>
      <c r="N364" s="25">
        <f t="shared" si="4"/>
        <v>86768.1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  <c r="E365" s="23">
        <f>IFERROR(__xludf.DUMMYFUNCTION("SPLIT(C365,""_"")"),353.0)</f>
        <v>353</v>
      </c>
      <c r="F365" s="23" t="str">
        <f>IFERROR(__xludf.DUMMYFUNCTION("""COMPUTED_VALUE"""),"April")</f>
        <v>April</v>
      </c>
      <c r="G365" s="23">
        <f>IFERROR(__xludf.DUMMYFUNCTION("""COMPUTED_VALUE"""),14.0)</f>
        <v>14</v>
      </c>
      <c r="H365" s="23" t="str">
        <f>IFERROR(__xludf.DUMMYFUNCTION("""COMPUTED_VALUE"""),"ABC0025")</f>
        <v>ABC0025</v>
      </c>
      <c r="I365" s="23">
        <f t="shared" si="1"/>
        <v>353</v>
      </c>
      <c r="J365" s="23">
        <f>Vlookup(B365,Product_Tab!$A$2:$C$16,3,FALSE)</f>
        <v>795</v>
      </c>
      <c r="K365" s="23">
        <f t="shared" si="2"/>
        <v>280635</v>
      </c>
      <c r="L365" s="24">
        <f>Vlookup(D365,Customer_Tab!$A$2:$C$10,3,FALSE)</f>
        <v>0.1</v>
      </c>
      <c r="M365" s="23">
        <f t="shared" si="3"/>
        <v>28063.5</v>
      </c>
      <c r="N365" s="25">
        <f t="shared" si="4"/>
        <v>252571.5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  <c r="E366" s="23">
        <f>IFERROR(__xludf.DUMMYFUNCTION("SPLIT(C366,""_"")"),335.0)</f>
        <v>335</v>
      </c>
      <c r="F366" s="23" t="str">
        <f>IFERROR(__xludf.DUMMYFUNCTION("""COMPUTED_VALUE"""),"May")</f>
        <v>May</v>
      </c>
      <c r="G366" s="23">
        <f>IFERROR(__xludf.DUMMYFUNCTION("""COMPUTED_VALUE"""),9.0)</f>
        <v>9</v>
      </c>
      <c r="H366" s="23" t="str">
        <f>IFERROR(__xludf.DUMMYFUNCTION("""COMPUTED_VALUE"""),"ABC0023")</f>
        <v>ABC0023</v>
      </c>
      <c r="I366" s="23">
        <f t="shared" si="1"/>
        <v>335</v>
      </c>
      <c r="J366" s="23">
        <f>Vlookup(B366,Product_Tab!$A$2:$C$16,3,FALSE)</f>
        <v>652</v>
      </c>
      <c r="K366" s="23">
        <f t="shared" si="2"/>
        <v>218420</v>
      </c>
      <c r="L366" s="24">
        <f>Vlookup(D366,Customer_Tab!$A$2:$C$10,3,FALSE)</f>
        <v>0.15</v>
      </c>
      <c r="M366" s="23">
        <f t="shared" si="3"/>
        <v>32763</v>
      </c>
      <c r="N366" s="25">
        <f t="shared" si="4"/>
        <v>185657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  <c r="E367" s="23">
        <f>IFERROR(__xludf.DUMMYFUNCTION("SPLIT(C367,""_"")"),331.0)</f>
        <v>331</v>
      </c>
      <c r="F367" s="23" t="str">
        <f>IFERROR(__xludf.DUMMYFUNCTION("""COMPUTED_VALUE"""),"May")</f>
        <v>May</v>
      </c>
      <c r="G367" s="23">
        <f>IFERROR(__xludf.DUMMYFUNCTION("""COMPUTED_VALUE"""),15.0)</f>
        <v>15</v>
      </c>
      <c r="H367" s="23" t="str">
        <f>IFERROR(__xludf.DUMMYFUNCTION("""COMPUTED_VALUE"""),"ABC0024")</f>
        <v>ABC0024</v>
      </c>
      <c r="I367" s="23">
        <f t="shared" si="1"/>
        <v>331</v>
      </c>
      <c r="J367" s="23">
        <f>Vlookup(B367,Product_Tab!$A$2:$C$16,3,FALSE)</f>
        <v>652</v>
      </c>
      <c r="K367" s="23">
        <f t="shared" si="2"/>
        <v>215812</v>
      </c>
      <c r="L367" s="24">
        <f>Vlookup(D367,Customer_Tab!$A$2:$C$10,3,FALSE)</f>
        <v>0.15</v>
      </c>
      <c r="M367" s="23">
        <f t="shared" si="3"/>
        <v>32371.8</v>
      </c>
      <c r="N367" s="25">
        <f t="shared" si="4"/>
        <v>183440.2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  <c r="E368" s="23">
        <f>IFERROR(__xludf.DUMMYFUNCTION("SPLIT(C368,""_"")"),490.0)</f>
        <v>490</v>
      </c>
      <c r="F368" s="23" t="str">
        <f>IFERROR(__xludf.DUMMYFUNCTION("""COMPUTED_VALUE"""),"May")</f>
        <v>May</v>
      </c>
      <c r="G368" s="23">
        <f>IFERROR(__xludf.DUMMYFUNCTION("""COMPUTED_VALUE"""),11.0)</f>
        <v>11</v>
      </c>
      <c r="H368" s="23" t="str">
        <f>IFERROR(__xludf.DUMMYFUNCTION("""COMPUTED_VALUE"""),"ABC0025")</f>
        <v>ABC0025</v>
      </c>
      <c r="I368" s="23">
        <f t="shared" si="1"/>
        <v>490</v>
      </c>
      <c r="J368" s="23">
        <f>Vlookup(B368,Product_Tab!$A$2:$C$16,3,FALSE)</f>
        <v>652</v>
      </c>
      <c r="K368" s="23">
        <f t="shared" si="2"/>
        <v>319480</v>
      </c>
      <c r="L368" s="24">
        <f>Vlookup(D368,Customer_Tab!$A$2:$C$10,3,FALSE)</f>
        <v>0.18</v>
      </c>
      <c r="M368" s="23">
        <f t="shared" si="3"/>
        <v>57506.4</v>
      </c>
      <c r="N368" s="25">
        <f t="shared" si="4"/>
        <v>261973.6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  <c r="E369" s="23">
        <f>IFERROR(__xludf.DUMMYFUNCTION("SPLIT(C369,""_"")"),316.0)</f>
        <v>316</v>
      </c>
      <c r="F369" s="23" t="str">
        <f>IFERROR(__xludf.DUMMYFUNCTION("""COMPUTED_VALUE"""),"May")</f>
        <v>May</v>
      </c>
      <c r="G369" s="23">
        <f>IFERROR(__xludf.DUMMYFUNCTION("""COMPUTED_VALUE"""),22.0)</f>
        <v>22</v>
      </c>
      <c r="H369" s="23" t="str">
        <f>IFERROR(__xludf.DUMMYFUNCTION("""COMPUTED_VALUE"""),"ABC0026")</f>
        <v>ABC0026</v>
      </c>
      <c r="I369" s="23">
        <f t="shared" si="1"/>
        <v>316</v>
      </c>
      <c r="J369" s="23">
        <f>Vlookup(B369,Product_Tab!$A$2:$C$16,3,FALSE)</f>
        <v>652</v>
      </c>
      <c r="K369" s="23">
        <f t="shared" si="2"/>
        <v>206032</v>
      </c>
      <c r="L369" s="24">
        <f>Vlookup(D369,Customer_Tab!$A$2:$C$10,3,FALSE)</f>
        <v>0.18</v>
      </c>
      <c r="M369" s="23">
        <f t="shared" si="3"/>
        <v>37085.76</v>
      </c>
      <c r="N369" s="25">
        <f t="shared" si="4"/>
        <v>168946.24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  <c r="E370" s="23">
        <f>IFERROR(__xludf.DUMMYFUNCTION("SPLIT(C370,""_"")"),348.0)</f>
        <v>348</v>
      </c>
      <c r="F370" s="23" t="str">
        <f>IFERROR(__xludf.DUMMYFUNCTION("""COMPUTED_VALUE"""),"May")</f>
        <v>May</v>
      </c>
      <c r="G370" s="23">
        <f>IFERROR(__xludf.DUMMYFUNCTION("""COMPUTED_VALUE"""),26.0)</f>
        <v>26</v>
      </c>
      <c r="H370" s="23" t="str">
        <f>IFERROR(__xludf.DUMMYFUNCTION("""COMPUTED_VALUE"""),"ABC0027")</f>
        <v>ABC0027</v>
      </c>
      <c r="I370" s="23">
        <f t="shared" si="1"/>
        <v>348</v>
      </c>
      <c r="J370" s="23">
        <f>Vlookup(B370,Product_Tab!$A$2:$C$16,3,FALSE)</f>
        <v>652</v>
      </c>
      <c r="K370" s="23">
        <f t="shared" si="2"/>
        <v>226896</v>
      </c>
      <c r="L370" s="24">
        <f>Vlookup(D370,Customer_Tab!$A$2:$C$10,3,FALSE)</f>
        <v>0.1</v>
      </c>
      <c r="M370" s="23">
        <f t="shared" si="3"/>
        <v>22689.6</v>
      </c>
      <c r="N370" s="25">
        <f t="shared" si="4"/>
        <v>204206.4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  <c r="E371" s="23">
        <f>IFERROR(__xludf.DUMMYFUNCTION("SPLIT(C371,""_"")"),484.0)</f>
        <v>484</v>
      </c>
      <c r="F371" s="23" t="str">
        <f>IFERROR(__xludf.DUMMYFUNCTION("""COMPUTED_VALUE"""),"May")</f>
        <v>May</v>
      </c>
      <c r="G371" s="23">
        <f>IFERROR(__xludf.DUMMYFUNCTION("""COMPUTED_VALUE"""),18.0)</f>
        <v>18</v>
      </c>
      <c r="H371" s="23" t="str">
        <f>IFERROR(__xludf.DUMMYFUNCTION("""COMPUTED_VALUE"""),"ABC0028")</f>
        <v>ABC0028</v>
      </c>
      <c r="I371" s="23">
        <f t="shared" si="1"/>
        <v>484</v>
      </c>
      <c r="J371" s="23">
        <f>Vlookup(B371,Product_Tab!$A$2:$C$16,3,FALSE)</f>
        <v>652</v>
      </c>
      <c r="K371" s="23">
        <f t="shared" si="2"/>
        <v>315568</v>
      </c>
      <c r="L371" s="24">
        <f>Vlookup(D371,Customer_Tab!$A$2:$C$10,3,FALSE)</f>
        <v>0.1</v>
      </c>
      <c r="M371" s="23">
        <f t="shared" si="3"/>
        <v>31556.8</v>
      </c>
      <c r="N371" s="25">
        <f t="shared" si="4"/>
        <v>284011.2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  <c r="E372" s="23">
        <f>IFERROR(__xludf.DUMMYFUNCTION("SPLIT(C372,""_"")"),383.0)</f>
        <v>383</v>
      </c>
      <c r="F372" s="23" t="str">
        <f>IFERROR(__xludf.DUMMYFUNCTION("""COMPUTED_VALUE"""),"May")</f>
        <v>May</v>
      </c>
      <c r="G372" s="23">
        <f>IFERROR(__xludf.DUMMYFUNCTION("""COMPUTED_VALUE"""),2.0)</f>
        <v>2</v>
      </c>
      <c r="H372" s="23" t="str">
        <f>IFERROR(__xludf.DUMMYFUNCTION("""COMPUTED_VALUE"""),"ABC0029")</f>
        <v>ABC0029</v>
      </c>
      <c r="I372" s="23">
        <f t="shared" si="1"/>
        <v>383</v>
      </c>
      <c r="J372" s="23">
        <f>Vlookup(B372,Product_Tab!$A$2:$C$16,3,FALSE)</f>
        <v>652</v>
      </c>
      <c r="K372" s="23">
        <f t="shared" si="2"/>
        <v>249716</v>
      </c>
      <c r="L372" s="24">
        <f>Vlookup(D372,Customer_Tab!$A$2:$C$10,3,FALSE)</f>
        <v>0.15</v>
      </c>
      <c r="M372" s="23">
        <f t="shared" si="3"/>
        <v>37457.4</v>
      </c>
      <c r="N372" s="25">
        <f t="shared" si="4"/>
        <v>212258.6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  <c r="E373" s="23">
        <f>IFERROR(__xludf.DUMMYFUNCTION("SPLIT(C373,""_"")"),420.0)</f>
        <v>420</v>
      </c>
      <c r="F373" s="23" t="str">
        <f>IFERROR(__xludf.DUMMYFUNCTION("""COMPUTED_VALUE"""),"May")</f>
        <v>May</v>
      </c>
      <c r="G373" s="23">
        <f>IFERROR(__xludf.DUMMYFUNCTION("""COMPUTED_VALUE"""),8.0)</f>
        <v>8</v>
      </c>
      <c r="H373" s="23" t="str">
        <f>IFERROR(__xludf.DUMMYFUNCTION("""COMPUTED_VALUE"""),"ABC0030")</f>
        <v>ABC0030</v>
      </c>
      <c r="I373" s="23">
        <f t="shared" si="1"/>
        <v>420</v>
      </c>
      <c r="J373" s="23">
        <f>Vlookup(B373,Product_Tab!$A$2:$C$16,3,FALSE)</f>
        <v>652</v>
      </c>
      <c r="K373" s="23">
        <f t="shared" si="2"/>
        <v>273840</v>
      </c>
      <c r="L373" s="24">
        <f>Vlookup(D373,Customer_Tab!$A$2:$C$10,3,FALSE)</f>
        <v>0.18</v>
      </c>
      <c r="M373" s="23">
        <f t="shared" si="3"/>
        <v>49291.2</v>
      </c>
      <c r="N373" s="25">
        <f t="shared" si="4"/>
        <v>224548.8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  <c r="E374" s="23">
        <f>IFERROR(__xludf.DUMMYFUNCTION("SPLIT(C374,""_"")"),226.0)</f>
        <v>226</v>
      </c>
      <c r="F374" s="23" t="str">
        <f>IFERROR(__xludf.DUMMYFUNCTION("""COMPUTED_VALUE"""),"May")</f>
        <v>May</v>
      </c>
      <c r="G374" s="23">
        <f>IFERROR(__xludf.DUMMYFUNCTION("""COMPUTED_VALUE"""),4.0)</f>
        <v>4</v>
      </c>
      <c r="H374" s="23" t="str">
        <f>IFERROR(__xludf.DUMMYFUNCTION("""COMPUTED_VALUE"""),"ABC0031")</f>
        <v>ABC0031</v>
      </c>
      <c r="I374" s="23">
        <f t="shared" si="1"/>
        <v>226</v>
      </c>
      <c r="J374" s="23">
        <f>Vlookup(B374,Product_Tab!$A$2:$C$16,3,FALSE)</f>
        <v>652</v>
      </c>
      <c r="K374" s="23">
        <f t="shared" si="2"/>
        <v>147352</v>
      </c>
      <c r="L374" s="24">
        <f>Vlookup(D374,Customer_Tab!$A$2:$C$10,3,FALSE)</f>
        <v>0.1</v>
      </c>
      <c r="M374" s="23">
        <f t="shared" si="3"/>
        <v>14735.2</v>
      </c>
      <c r="N374" s="25">
        <f t="shared" si="4"/>
        <v>132616.8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  <c r="E375" s="23">
        <f>IFERROR(__xludf.DUMMYFUNCTION("SPLIT(C375,""_"")"),339.0)</f>
        <v>339</v>
      </c>
      <c r="F375" s="23" t="str">
        <f>IFERROR(__xludf.DUMMYFUNCTION("""COMPUTED_VALUE"""),"May")</f>
        <v>May</v>
      </c>
      <c r="G375" s="23">
        <f>IFERROR(__xludf.DUMMYFUNCTION("""COMPUTED_VALUE"""),16.0)</f>
        <v>16</v>
      </c>
      <c r="H375" s="23" t="str">
        <f>IFERROR(__xludf.DUMMYFUNCTION("""COMPUTED_VALUE"""),"ABC0023")</f>
        <v>ABC0023</v>
      </c>
      <c r="I375" s="23">
        <f t="shared" si="1"/>
        <v>339</v>
      </c>
      <c r="J375" s="23">
        <f>Vlookup(B375,Product_Tab!$A$2:$C$16,3,FALSE)</f>
        <v>378</v>
      </c>
      <c r="K375" s="23">
        <f t="shared" si="2"/>
        <v>128142</v>
      </c>
      <c r="L375" s="24">
        <f>Vlookup(D375,Customer_Tab!$A$2:$C$10,3,FALSE)</f>
        <v>0.15</v>
      </c>
      <c r="M375" s="23">
        <f t="shared" si="3"/>
        <v>19221.3</v>
      </c>
      <c r="N375" s="25">
        <f t="shared" si="4"/>
        <v>108920.7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  <c r="E376" s="23">
        <f>IFERROR(__xludf.DUMMYFUNCTION("SPLIT(C376,""_"")"),322.0)</f>
        <v>322</v>
      </c>
      <c r="F376" s="23" t="str">
        <f>IFERROR(__xludf.DUMMYFUNCTION("""COMPUTED_VALUE"""),"May")</f>
        <v>May</v>
      </c>
      <c r="G376" s="23">
        <f>IFERROR(__xludf.DUMMYFUNCTION("""COMPUTED_VALUE"""),11.0)</f>
        <v>11</v>
      </c>
      <c r="H376" s="23" t="str">
        <f>IFERROR(__xludf.DUMMYFUNCTION("""COMPUTED_VALUE"""),"ABC0024")</f>
        <v>ABC0024</v>
      </c>
      <c r="I376" s="23">
        <f t="shared" si="1"/>
        <v>322</v>
      </c>
      <c r="J376" s="23">
        <f>Vlookup(B376,Product_Tab!$A$2:$C$16,3,FALSE)</f>
        <v>378</v>
      </c>
      <c r="K376" s="23">
        <f t="shared" si="2"/>
        <v>121716</v>
      </c>
      <c r="L376" s="24">
        <f>Vlookup(D376,Customer_Tab!$A$2:$C$10,3,FALSE)</f>
        <v>0.15</v>
      </c>
      <c r="M376" s="23">
        <f t="shared" si="3"/>
        <v>18257.4</v>
      </c>
      <c r="N376" s="25">
        <f t="shared" si="4"/>
        <v>103458.6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  <c r="E377" s="23">
        <f>IFERROR(__xludf.DUMMYFUNCTION("SPLIT(C377,""_"")"),342.0)</f>
        <v>342</v>
      </c>
      <c r="F377" s="23" t="str">
        <f>IFERROR(__xludf.DUMMYFUNCTION("""COMPUTED_VALUE"""),"May")</f>
        <v>May</v>
      </c>
      <c r="G377" s="23">
        <f>IFERROR(__xludf.DUMMYFUNCTION("""COMPUTED_VALUE"""),7.0)</f>
        <v>7</v>
      </c>
      <c r="H377" s="23" t="str">
        <f>IFERROR(__xludf.DUMMYFUNCTION("""COMPUTED_VALUE"""),"ABC0025")</f>
        <v>ABC0025</v>
      </c>
      <c r="I377" s="23">
        <f t="shared" si="1"/>
        <v>342</v>
      </c>
      <c r="J377" s="23">
        <f>Vlookup(B377,Product_Tab!$A$2:$C$16,3,FALSE)</f>
        <v>378</v>
      </c>
      <c r="K377" s="23">
        <f t="shared" si="2"/>
        <v>129276</v>
      </c>
      <c r="L377" s="24">
        <f>Vlookup(D377,Customer_Tab!$A$2:$C$10,3,FALSE)</f>
        <v>0.18</v>
      </c>
      <c r="M377" s="23">
        <f t="shared" si="3"/>
        <v>23269.68</v>
      </c>
      <c r="N377" s="25">
        <f t="shared" si="4"/>
        <v>106006.32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  <c r="E378" s="23">
        <f>IFERROR(__xludf.DUMMYFUNCTION("SPLIT(C378,""_"")"),231.0)</f>
        <v>231</v>
      </c>
      <c r="F378" s="23" t="str">
        <f>IFERROR(__xludf.DUMMYFUNCTION("""COMPUTED_VALUE"""),"May")</f>
        <v>May</v>
      </c>
      <c r="G378" s="23">
        <f>IFERROR(__xludf.DUMMYFUNCTION("""COMPUTED_VALUE"""),5.0)</f>
        <v>5</v>
      </c>
      <c r="H378" s="23" t="str">
        <f>IFERROR(__xludf.DUMMYFUNCTION("""COMPUTED_VALUE"""),"ABC0026")</f>
        <v>ABC0026</v>
      </c>
      <c r="I378" s="23">
        <f t="shared" si="1"/>
        <v>231</v>
      </c>
      <c r="J378" s="23">
        <f>Vlookup(B378,Product_Tab!$A$2:$C$16,3,FALSE)</f>
        <v>378</v>
      </c>
      <c r="K378" s="23">
        <f t="shared" si="2"/>
        <v>87318</v>
      </c>
      <c r="L378" s="24">
        <f>Vlookup(D378,Customer_Tab!$A$2:$C$10,3,FALSE)</f>
        <v>0.18</v>
      </c>
      <c r="M378" s="23">
        <f t="shared" si="3"/>
        <v>15717.24</v>
      </c>
      <c r="N378" s="25">
        <f t="shared" si="4"/>
        <v>71600.76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  <c r="E379" s="23">
        <f>IFERROR(__xludf.DUMMYFUNCTION("SPLIT(C379,""_"")"),431.0)</f>
        <v>431</v>
      </c>
      <c r="F379" s="23" t="str">
        <f>IFERROR(__xludf.DUMMYFUNCTION("""COMPUTED_VALUE"""),"May")</f>
        <v>May</v>
      </c>
      <c r="G379" s="23">
        <f>IFERROR(__xludf.DUMMYFUNCTION("""COMPUTED_VALUE"""),15.0)</f>
        <v>15</v>
      </c>
      <c r="H379" s="23" t="str">
        <f>IFERROR(__xludf.DUMMYFUNCTION("""COMPUTED_VALUE"""),"ABC0027")</f>
        <v>ABC0027</v>
      </c>
      <c r="I379" s="23">
        <f t="shared" si="1"/>
        <v>431</v>
      </c>
      <c r="J379" s="23">
        <f>Vlookup(B379,Product_Tab!$A$2:$C$16,3,FALSE)</f>
        <v>378</v>
      </c>
      <c r="K379" s="23">
        <f t="shared" si="2"/>
        <v>162918</v>
      </c>
      <c r="L379" s="24">
        <f>Vlookup(D379,Customer_Tab!$A$2:$C$10,3,FALSE)</f>
        <v>0.1</v>
      </c>
      <c r="M379" s="23">
        <f t="shared" si="3"/>
        <v>16291.8</v>
      </c>
      <c r="N379" s="25">
        <f t="shared" si="4"/>
        <v>146626.2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  <c r="E380" s="23">
        <f>IFERROR(__xludf.DUMMYFUNCTION("SPLIT(C380,""_"")"),310.0)</f>
        <v>310</v>
      </c>
      <c r="F380" s="23" t="str">
        <f>IFERROR(__xludf.DUMMYFUNCTION("""COMPUTED_VALUE"""),"May")</f>
        <v>May</v>
      </c>
      <c r="G380" s="23">
        <f>IFERROR(__xludf.DUMMYFUNCTION("""COMPUTED_VALUE"""),20.0)</f>
        <v>20</v>
      </c>
      <c r="H380" s="23" t="str">
        <f>IFERROR(__xludf.DUMMYFUNCTION("""COMPUTED_VALUE"""),"ABC0028")</f>
        <v>ABC0028</v>
      </c>
      <c r="I380" s="23">
        <f t="shared" si="1"/>
        <v>310</v>
      </c>
      <c r="J380" s="23">
        <f>Vlookup(B380,Product_Tab!$A$2:$C$16,3,FALSE)</f>
        <v>378</v>
      </c>
      <c r="K380" s="23">
        <f t="shared" si="2"/>
        <v>117180</v>
      </c>
      <c r="L380" s="24">
        <f>Vlookup(D380,Customer_Tab!$A$2:$C$10,3,FALSE)</f>
        <v>0.1</v>
      </c>
      <c r="M380" s="23">
        <f t="shared" si="3"/>
        <v>11718</v>
      </c>
      <c r="N380" s="25">
        <f t="shared" si="4"/>
        <v>105462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  <c r="E381" s="23">
        <f>IFERROR(__xludf.DUMMYFUNCTION("SPLIT(C381,""_"")"),338.0)</f>
        <v>338</v>
      </c>
      <c r="F381" s="23" t="str">
        <f>IFERROR(__xludf.DUMMYFUNCTION("""COMPUTED_VALUE"""),"May")</f>
        <v>May</v>
      </c>
      <c r="G381" s="23">
        <f>IFERROR(__xludf.DUMMYFUNCTION("""COMPUTED_VALUE"""),16.0)</f>
        <v>16</v>
      </c>
      <c r="H381" s="23" t="str">
        <f>IFERROR(__xludf.DUMMYFUNCTION("""COMPUTED_VALUE"""),"ABC0029")</f>
        <v>ABC0029</v>
      </c>
      <c r="I381" s="23">
        <f t="shared" si="1"/>
        <v>338</v>
      </c>
      <c r="J381" s="23">
        <f>Vlookup(B381,Product_Tab!$A$2:$C$16,3,FALSE)</f>
        <v>378</v>
      </c>
      <c r="K381" s="23">
        <f t="shared" si="2"/>
        <v>127764</v>
      </c>
      <c r="L381" s="24">
        <f>Vlookup(D381,Customer_Tab!$A$2:$C$10,3,FALSE)</f>
        <v>0.15</v>
      </c>
      <c r="M381" s="23">
        <f t="shared" si="3"/>
        <v>19164.6</v>
      </c>
      <c r="N381" s="25">
        <f t="shared" si="4"/>
        <v>108599.4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  <c r="E382" s="23">
        <f>IFERROR(__xludf.DUMMYFUNCTION("SPLIT(C382,""_"")"),431.0)</f>
        <v>431</v>
      </c>
      <c r="F382" s="23" t="str">
        <f>IFERROR(__xludf.DUMMYFUNCTION("""COMPUTED_VALUE"""),"May")</f>
        <v>May</v>
      </c>
      <c r="G382" s="23">
        <f>IFERROR(__xludf.DUMMYFUNCTION("""COMPUTED_VALUE"""),17.0)</f>
        <v>17</v>
      </c>
      <c r="H382" s="23" t="str">
        <f>IFERROR(__xludf.DUMMYFUNCTION("""COMPUTED_VALUE"""),"ABC0030")</f>
        <v>ABC0030</v>
      </c>
      <c r="I382" s="23">
        <f t="shared" si="1"/>
        <v>431</v>
      </c>
      <c r="J382" s="23">
        <f>Vlookup(B382,Product_Tab!$A$2:$C$16,3,FALSE)</f>
        <v>378</v>
      </c>
      <c r="K382" s="23">
        <f t="shared" si="2"/>
        <v>162918</v>
      </c>
      <c r="L382" s="24">
        <f>Vlookup(D382,Customer_Tab!$A$2:$C$10,3,FALSE)</f>
        <v>0.18</v>
      </c>
      <c r="M382" s="23">
        <f t="shared" si="3"/>
        <v>29325.24</v>
      </c>
      <c r="N382" s="25">
        <f t="shared" si="4"/>
        <v>133592.76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  <c r="E383" s="23">
        <f>IFERROR(__xludf.DUMMYFUNCTION("SPLIT(C383,""_"")"),474.0)</f>
        <v>474</v>
      </c>
      <c r="F383" s="23" t="str">
        <f>IFERROR(__xludf.DUMMYFUNCTION("""COMPUTED_VALUE"""),"May")</f>
        <v>May</v>
      </c>
      <c r="G383" s="23">
        <f>IFERROR(__xludf.DUMMYFUNCTION("""COMPUTED_VALUE"""),5.0)</f>
        <v>5</v>
      </c>
      <c r="H383" s="23" t="str">
        <f>IFERROR(__xludf.DUMMYFUNCTION("""COMPUTED_VALUE"""),"ABC0031")</f>
        <v>ABC0031</v>
      </c>
      <c r="I383" s="23">
        <f t="shared" si="1"/>
        <v>474</v>
      </c>
      <c r="J383" s="23">
        <f>Vlookup(B383,Product_Tab!$A$2:$C$16,3,FALSE)</f>
        <v>378</v>
      </c>
      <c r="K383" s="23">
        <f t="shared" si="2"/>
        <v>179172</v>
      </c>
      <c r="L383" s="24">
        <f>Vlookup(D383,Customer_Tab!$A$2:$C$10,3,FALSE)</f>
        <v>0.1</v>
      </c>
      <c r="M383" s="23">
        <f t="shared" si="3"/>
        <v>17917.2</v>
      </c>
      <c r="N383" s="25">
        <f t="shared" si="4"/>
        <v>161254.8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  <c r="E384" s="23">
        <f>IFERROR(__xludf.DUMMYFUNCTION("SPLIT(C384,""_"")"),285.0)</f>
        <v>285</v>
      </c>
      <c r="F384" s="23" t="str">
        <f>IFERROR(__xludf.DUMMYFUNCTION("""COMPUTED_VALUE"""),"May")</f>
        <v>May</v>
      </c>
      <c r="G384" s="23">
        <f>IFERROR(__xludf.DUMMYFUNCTION("""COMPUTED_VALUE"""),13.0)</f>
        <v>13</v>
      </c>
      <c r="H384" s="23" t="str">
        <f>IFERROR(__xludf.DUMMYFUNCTION("""COMPUTED_VALUE"""),"ABC0023")</f>
        <v>ABC0023</v>
      </c>
      <c r="I384" s="23">
        <f t="shared" si="1"/>
        <v>285</v>
      </c>
      <c r="J384" s="23">
        <f>Vlookup(B384,Product_Tab!$A$2:$C$16,3,FALSE)</f>
        <v>378</v>
      </c>
      <c r="K384" s="23">
        <f t="shared" si="2"/>
        <v>107730</v>
      </c>
      <c r="L384" s="24">
        <f>Vlookup(D384,Customer_Tab!$A$2:$C$10,3,FALSE)</f>
        <v>0.15</v>
      </c>
      <c r="M384" s="23">
        <f t="shared" si="3"/>
        <v>16159.5</v>
      </c>
      <c r="N384" s="25">
        <f t="shared" si="4"/>
        <v>91570.5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  <c r="E385" s="23">
        <f>IFERROR(__xludf.DUMMYFUNCTION("SPLIT(C385,""_"")"),450.0)</f>
        <v>450</v>
      </c>
      <c r="F385" s="23" t="str">
        <f>IFERROR(__xludf.DUMMYFUNCTION("""COMPUTED_VALUE"""),"May")</f>
        <v>May</v>
      </c>
      <c r="G385" s="23">
        <f>IFERROR(__xludf.DUMMYFUNCTION("""COMPUTED_VALUE"""),20.0)</f>
        <v>20</v>
      </c>
      <c r="H385" s="23" t="str">
        <f>IFERROR(__xludf.DUMMYFUNCTION("""COMPUTED_VALUE"""),"ABC0024")</f>
        <v>ABC0024</v>
      </c>
      <c r="I385" s="23">
        <f t="shared" si="1"/>
        <v>450</v>
      </c>
      <c r="J385" s="23">
        <f>Vlookup(B385,Product_Tab!$A$2:$C$16,3,FALSE)</f>
        <v>378</v>
      </c>
      <c r="K385" s="23">
        <f t="shared" si="2"/>
        <v>170100</v>
      </c>
      <c r="L385" s="24">
        <f>Vlookup(D385,Customer_Tab!$A$2:$C$10,3,FALSE)</f>
        <v>0.18</v>
      </c>
      <c r="M385" s="23">
        <f t="shared" si="3"/>
        <v>30618</v>
      </c>
      <c r="N385" s="25">
        <f t="shared" si="4"/>
        <v>139482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  <c r="E386" s="23">
        <f>IFERROR(__xludf.DUMMYFUNCTION("SPLIT(C386,""_"")"),256.0)</f>
        <v>256</v>
      </c>
      <c r="F386" s="23" t="str">
        <f>IFERROR(__xludf.DUMMYFUNCTION("""COMPUTED_VALUE"""),"May")</f>
        <v>May</v>
      </c>
      <c r="G386" s="23">
        <f>IFERROR(__xludf.DUMMYFUNCTION("""COMPUTED_VALUE"""),8.0)</f>
        <v>8</v>
      </c>
      <c r="H386" s="23" t="str">
        <f>IFERROR(__xludf.DUMMYFUNCTION("""COMPUTED_VALUE"""),"ABC0025")</f>
        <v>ABC0025</v>
      </c>
      <c r="I386" s="23">
        <f t="shared" si="1"/>
        <v>256</v>
      </c>
      <c r="J386" s="23">
        <f>Vlookup(B386,Product_Tab!$A$2:$C$16,3,FALSE)</f>
        <v>378</v>
      </c>
      <c r="K386" s="23">
        <f t="shared" si="2"/>
        <v>96768</v>
      </c>
      <c r="L386" s="24">
        <f>Vlookup(D386,Customer_Tab!$A$2:$C$10,3,FALSE)</f>
        <v>0.1</v>
      </c>
      <c r="M386" s="23">
        <f t="shared" si="3"/>
        <v>9676.8</v>
      </c>
      <c r="N386" s="25">
        <f t="shared" si="4"/>
        <v>87091.2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  <c r="E387" s="23">
        <f>IFERROR(__xludf.DUMMYFUNCTION("SPLIT(C387,""_"")"),438.0)</f>
        <v>438</v>
      </c>
      <c r="F387" s="23" t="str">
        <f>IFERROR(__xludf.DUMMYFUNCTION("""COMPUTED_VALUE"""),"May")</f>
        <v>May</v>
      </c>
      <c r="G387" s="23">
        <f>IFERROR(__xludf.DUMMYFUNCTION("""COMPUTED_VALUE"""),17.0)</f>
        <v>17</v>
      </c>
      <c r="H387" s="23" t="str">
        <f>IFERROR(__xludf.DUMMYFUNCTION("""COMPUTED_VALUE"""),"ABC0026")</f>
        <v>ABC0026</v>
      </c>
      <c r="I387" s="23">
        <f t="shared" si="1"/>
        <v>438</v>
      </c>
      <c r="J387" s="23">
        <f>Vlookup(B387,Product_Tab!$A$2:$C$16,3,FALSE)</f>
        <v>378</v>
      </c>
      <c r="K387" s="23">
        <f t="shared" si="2"/>
        <v>165564</v>
      </c>
      <c r="L387" s="24">
        <f>Vlookup(D387,Customer_Tab!$A$2:$C$10,3,FALSE)</f>
        <v>0.18</v>
      </c>
      <c r="M387" s="23">
        <f t="shared" si="3"/>
        <v>29801.52</v>
      </c>
      <c r="N387" s="25">
        <f t="shared" si="4"/>
        <v>135762.48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  <c r="E388" s="23">
        <f>IFERROR(__xludf.DUMMYFUNCTION("SPLIT(C388,""_"")"),385.0)</f>
        <v>385</v>
      </c>
      <c r="F388" s="23" t="str">
        <f>IFERROR(__xludf.DUMMYFUNCTION("""COMPUTED_VALUE"""),"May")</f>
        <v>May</v>
      </c>
      <c r="G388" s="23">
        <f>IFERROR(__xludf.DUMMYFUNCTION("""COMPUTED_VALUE"""),8.0)</f>
        <v>8</v>
      </c>
      <c r="H388" s="23" t="str">
        <f>IFERROR(__xludf.DUMMYFUNCTION("""COMPUTED_VALUE"""),"ABC0023")</f>
        <v>ABC0023</v>
      </c>
      <c r="I388" s="23">
        <f t="shared" si="1"/>
        <v>385</v>
      </c>
      <c r="J388" s="23">
        <f>Vlookup(B388,Product_Tab!$A$2:$C$16,3,FALSE)</f>
        <v>545</v>
      </c>
      <c r="K388" s="23">
        <f t="shared" si="2"/>
        <v>209825</v>
      </c>
      <c r="L388" s="24">
        <f>Vlookup(D388,Customer_Tab!$A$2:$C$10,3,FALSE)</f>
        <v>0.15</v>
      </c>
      <c r="M388" s="23">
        <f t="shared" si="3"/>
        <v>31473.75</v>
      </c>
      <c r="N388" s="25">
        <f t="shared" si="4"/>
        <v>178351.25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  <c r="E389" s="23">
        <f>IFERROR(__xludf.DUMMYFUNCTION("SPLIT(C389,""_"")"),483.0)</f>
        <v>483</v>
      </c>
      <c r="F389" s="23" t="str">
        <f>IFERROR(__xludf.DUMMYFUNCTION("""COMPUTED_VALUE"""),"May")</f>
        <v>May</v>
      </c>
      <c r="G389" s="23">
        <f>IFERROR(__xludf.DUMMYFUNCTION("""COMPUTED_VALUE"""),27.0)</f>
        <v>27</v>
      </c>
      <c r="H389" s="23" t="str">
        <f>IFERROR(__xludf.DUMMYFUNCTION("""COMPUTED_VALUE"""),"ABC0024")</f>
        <v>ABC0024</v>
      </c>
      <c r="I389" s="23">
        <f t="shared" si="1"/>
        <v>483</v>
      </c>
      <c r="J389" s="23">
        <f>Vlookup(B389,Product_Tab!$A$2:$C$16,3,FALSE)</f>
        <v>545</v>
      </c>
      <c r="K389" s="23">
        <f t="shared" si="2"/>
        <v>263235</v>
      </c>
      <c r="L389" s="24">
        <f>Vlookup(D389,Customer_Tab!$A$2:$C$10,3,FALSE)</f>
        <v>0.15</v>
      </c>
      <c r="M389" s="23">
        <f t="shared" si="3"/>
        <v>39485.25</v>
      </c>
      <c r="N389" s="25">
        <f t="shared" si="4"/>
        <v>223749.75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  <c r="E390" s="23">
        <f>IFERROR(__xludf.DUMMYFUNCTION("SPLIT(C390,""_"")"),313.0)</f>
        <v>313</v>
      </c>
      <c r="F390" s="23" t="str">
        <f>IFERROR(__xludf.DUMMYFUNCTION("""COMPUTED_VALUE"""),"May")</f>
        <v>May</v>
      </c>
      <c r="G390" s="23">
        <f>IFERROR(__xludf.DUMMYFUNCTION("""COMPUTED_VALUE"""),28.0)</f>
        <v>28</v>
      </c>
      <c r="H390" s="23" t="str">
        <f>IFERROR(__xludf.DUMMYFUNCTION("""COMPUTED_VALUE"""),"ABC0025")</f>
        <v>ABC0025</v>
      </c>
      <c r="I390" s="23">
        <f t="shared" si="1"/>
        <v>313</v>
      </c>
      <c r="J390" s="23">
        <f>Vlookup(B390,Product_Tab!$A$2:$C$16,3,FALSE)</f>
        <v>545</v>
      </c>
      <c r="K390" s="23">
        <f t="shared" si="2"/>
        <v>170585</v>
      </c>
      <c r="L390" s="24">
        <f>Vlookup(D390,Customer_Tab!$A$2:$C$10,3,FALSE)</f>
        <v>0.18</v>
      </c>
      <c r="M390" s="23">
        <f t="shared" si="3"/>
        <v>30705.3</v>
      </c>
      <c r="N390" s="25">
        <f t="shared" si="4"/>
        <v>139879.7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  <c r="E391" s="23">
        <f>IFERROR(__xludf.DUMMYFUNCTION("SPLIT(C391,""_"")"),399.0)</f>
        <v>399</v>
      </c>
      <c r="F391" s="23" t="str">
        <f>IFERROR(__xludf.DUMMYFUNCTION("""COMPUTED_VALUE"""),"May")</f>
        <v>May</v>
      </c>
      <c r="G391" s="23">
        <f>IFERROR(__xludf.DUMMYFUNCTION("""COMPUTED_VALUE"""),26.0)</f>
        <v>26</v>
      </c>
      <c r="H391" s="23" t="str">
        <f>IFERROR(__xludf.DUMMYFUNCTION("""COMPUTED_VALUE"""),"ABC0026")</f>
        <v>ABC0026</v>
      </c>
      <c r="I391" s="23">
        <f t="shared" si="1"/>
        <v>399</v>
      </c>
      <c r="J391" s="23">
        <f>Vlookup(B391,Product_Tab!$A$2:$C$16,3,FALSE)</f>
        <v>545</v>
      </c>
      <c r="K391" s="23">
        <f t="shared" si="2"/>
        <v>217455</v>
      </c>
      <c r="L391" s="24">
        <f>Vlookup(D391,Customer_Tab!$A$2:$C$10,3,FALSE)</f>
        <v>0.18</v>
      </c>
      <c r="M391" s="23">
        <f t="shared" si="3"/>
        <v>39141.9</v>
      </c>
      <c r="N391" s="25">
        <f t="shared" si="4"/>
        <v>178313.1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  <c r="E392" s="23">
        <f>IFERROR(__xludf.DUMMYFUNCTION("SPLIT(C392,""_"")"),280.0)</f>
        <v>280</v>
      </c>
      <c r="F392" s="23" t="str">
        <f>IFERROR(__xludf.DUMMYFUNCTION("""COMPUTED_VALUE"""),"May")</f>
        <v>May</v>
      </c>
      <c r="G392" s="23">
        <f>IFERROR(__xludf.DUMMYFUNCTION("""COMPUTED_VALUE"""),10.0)</f>
        <v>10</v>
      </c>
      <c r="H392" s="23" t="str">
        <f>IFERROR(__xludf.DUMMYFUNCTION("""COMPUTED_VALUE"""),"ABC0027")</f>
        <v>ABC0027</v>
      </c>
      <c r="I392" s="23">
        <f t="shared" si="1"/>
        <v>280</v>
      </c>
      <c r="J392" s="23">
        <f>Vlookup(B392,Product_Tab!$A$2:$C$16,3,FALSE)</f>
        <v>545</v>
      </c>
      <c r="K392" s="23">
        <f t="shared" si="2"/>
        <v>152600</v>
      </c>
      <c r="L392" s="24">
        <f>Vlookup(D392,Customer_Tab!$A$2:$C$10,3,FALSE)</f>
        <v>0.1</v>
      </c>
      <c r="M392" s="23">
        <f t="shared" si="3"/>
        <v>15260</v>
      </c>
      <c r="N392" s="25">
        <f t="shared" si="4"/>
        <v>137340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  <c r="E393" s="23">
        <f>IFERROR(__xludf.DUMMYFUNCTION("SPLIT(C393,""_"")"),291.0)</f>
        <v>291</v>
      </c>
      <c r="F393" s="23" t="str">
        <f>IFERROR(__xludf.DUMMYFUNCTION("""COMPUTED_VALUE"""),"May")</f>
        <v>May</v>
      </c>
      <c r="G393" s="23">
        <f>IFERROR(__xludf.DUMMYFUNCTION("""COMPUTED_VALUE"""),28.0)</f>
        <v>28</v>
      </c>
      <c r="H393" s="23" t="str">
        <f>IFERROR(__xludf.DUMMYFUNCTION("""COMPUTED_VALUE"""),"ABC0028")</f>
        <v>ABC0028</v>
      </c>
      <c r="I393" s="23">
        <f t="shared" si="1"/>
        <v>291</v>
      </c>
      <c r="J393" s="23">
        <f>Vlookup(B393,Product_Tab!$A$2:$C$16,3,FALSE)</f>
        <v>545</v>
      </c>
      <c r="K393" s="23">
        <f t="shared" si="2"/>
        <v>158595</v>
      </c>
      <c r="L393" s="24">
        <f>Vlookup(D393,Customer_Tab!$A$2:$C$10,3,FALSE)</f>
        <v>0.1</v>
      </c>
      <c r="M393" s="23">
        <f t="shared" si="3"/>
        <v>15859.5</v>
      </c>
      <c r="N393" s="25">
        <f t="shared" si="4"/>
        <v>142735.5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  <c r="E394" s="23">
        <f>IFERROR(__xludf.DUMMYFUNCTION("SPLIT(C394,""_"")"),310.0)</f>
        <v>310</v>
      </c>
      <c r="F394" s="23" t="str">
        <f>IFERROR(__xludf.DUMMYFUNCTION("""COMPUTED_VALUE"""),"May")</f>
        <v>May</v>
      </c>
      <c r="G394" s="23">
        <f>IFERROR(__xludf.DUMMYFUNCTION("""COMPUTED_VALUE"""),30.0)</f>
        <v>30</v>
      </c>
      <c r="H394" s="23" t="str">
        <f>IFERROR(__xludf.DUMMYFUNCTION("""COMPUTED_VALUE"""),"ABC0029")</f>
        <v>ABC0029</v>
      </c>
      <c r="I394" s="23">
        <f t="shared" si="1"/>
        <v>310</v>
      </c>
      <c r="J394" s="23">
        <f>Vlookup(B394,Product_Tab!$A$2:$C$16,3,FALSE)</f>
        <v>545</v>
      </c>
      <c r="K394" s="23">
        <f t="shared" si="2"/>
        <v>168950</v>
      </c>
      <c r="L394" s="24">
        <f>Vlookup(D394,Customer_Tab!$A$2:$C$10,3,FALSE)</f>
        <v>0.15</v>
      </c>
      <c r="M394" s="23">
        <f t="shared" si="3"/>
        <v>25342.5</v>
      </c>
      <c r="N394" s="25">
        <f t="shared" si="4"/>
        <v>143607.5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  <c r="E395" s="23">
        <f>IFERROR(__xludf.DUMMYFUNCTION("SPLIT(C395,""_"")"),247.0)</f>
        <v>247</v>
      </c>
      <c r="F395" s="23" t="str">
        <f>IFERROR(__xludf.DUMMYFUNCTION("""COMPUTED_VALUE"""),"May")</f>
        <v>May</v>
      </c>
      <c r="G395" s="23">
        <f>IFERROR(__xludf.DUMMYFUNCTION("""COMPUTED_VALUE"""),24.0)</f>
        <v>24</v>
      </c>
      <c r="H395" s="23" t="str">
        <f>IFERROR(__xludf.DUMMYFUNCTION("""COMPUTED_VALUE"""),"ABC0030")</f>
        <v>ABC0030</v>
      </c>
      <c r="I395" s="23">
        <f t="shared" si="1"/>
        <v>247</v>
      </c>
      <c r="J395" s="23">
        <f>Vlookup(B395,Product_Tab!$A$2:$C$16,3,FALSE)</f>
        <v>545</v>
      </c>
      <c r="K395" s="23">
        <f t="shared" si="2"/>
        <v>134615</v>
      </c>
      <c r="L395" s="24">
        <f>Vlookup(D395,Customer_Tab!$A$2:$C$10,3,FALSE)</f>
        <v>0.18</v>
      </c>
      <c r="M395" s="23">
        <f t="shared" si="3"/>
        <v>24230.7</v>
      </c>
      <c r="N395" s="25">
        <f t="shared" si="4"/>
        <v>110384.3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  <c r="E396" s="23">
        <f>IFERROR(__xludf.DUMMYFUNCTION("SPLIT(C396,""_"")"),240.0)</f>
        <v>240</v>
      </c>
      <c r="F396" s="23" t="str">
        <f>IFERROR(__xludf.DUMMYFUNCTION("""COMPUTED_VALUE"""),"May")</f>
        <v>May</v>
      </c>
      <c r="G396" s="23">
        <f>IFERROR(__xludf.DUMMYFUNCTION("""COMPUTED_VALUE"""),10.0)</f>
        <v>10</v>
      </c>
      <c r="H396" s="23" t="str">
        <f>IFERROR(__xludf.DUMMYFUNCTION("""COMPUTED_VALUE"""),"ABC0031")</f>
        <v>ABC0031</v>
      </c>
      <c r="I396" s="23">
        <f t="shared" si="1"/>
        <v>240</v>
      </c>
      <c r="J396" s="23">
        <f>Vlookup(B396,Product_Tab!$A$2:$C$16,3,FALSE)</f>
        <v>545</v>
      </c>
      <c r="K396" s="23">
        <f t="shared" si="2"/>
        <v>130800</v>
      </c>
      <c r="L396" s="24">
        <f>Vlookup(D396,Customer_Tab!$A$2:$C$10,3,FALSE)</f>
        <v>0.1</v>
      </c>
      <c r="M396" s="23">
        <f t="shared" si="3"/>
        <v>13080</v>
      </c>
      <c r="N396" s="25">
        <f t="shared" si="4"/>
        <v>117720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  <c r="E397" s="23">
        <f>IFERROR(__xludf.DUMMYFUNCTION("SPLIT(C397,""_"")"),450.0)</f>
        <v>450</v>
      </c>
      <c r="F397" s="23" t="str">
        <f>IFERROR(__xludf.DUMMYFUNCTION("""COMPUTED_VALUE"""),"May")</f>
        <v>May</v>
      </c>
      <c r="G397" s="23">
        <f>IFERROR(__xludf.DUMMYFUNCTION("""COMPUTED_VALUE"""),2.0)</f>
        <v>2</v>
      </c>
      <c r="H397" s="23" t="str">
        <f>IFERROR(__xludf.DUMMYFUNCTION("""COMPUTED_VALUE"""),"ABC0029")</f>
        <v>ABC0029</v>
      </c>
      <c r="I397" s="23">
        <f t="shared" si="1"/>
        <v>450</v>
      </c>
      <c r="J397" s="23">
        <f>Vlookup(B397,Product_Tab!$A$2:$C$16,3,FALSE)</f>
        <v>545</v>
      </c>
      <c r="K397" s="23">
        <f t="shared" si="2"/>
        <v>245250</v>
      </c>
      <c r="L397" s="24">
        <f>Vlookup(D397,Customer_Tab!$A$2:$C$10,3,FALSE)</f>
        <v>0.15</v>
      </c>
      <c r="M397" s="23">
        <f t="shared" si="3"/>
        <v>36787.5</v>
      </c>
      <c r="N397" s="25">
        <f t="shared" si="4"/>
        <v>208462.5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  <c r="E398" s="23">
        <f>IFERROR(__xludf.DUMMYFUNCTION("SPLIT(C398,""_"")"),305.0)</f>
        <v>305</v>
      </c>
      <c r="F398" s="23" t="str">
        <f>IFERROR(__xludf.DUMMYFUNCTION("""COMPUTED_VALUE"""),"May")</f>
        <v>May</v>
      </c>
      <c r="G398" s="23">
        <f>IFERROR(__xludf.DUMMYFUNCTION("""COMPUTED_VALUE"""),8.0)</f>
        <v>8</v>
      </c>
      <c r="H398" s="23" t="str">
        <f>IFERROR(__xludf.DUMMYFUNCTION("""COMPUTED_VALUE"""),"ABC0030")</f>
        <v>ABC0030</v>
      </c>
      <c r="I398" s="23">
        <f t="shared" si="1"/>
        <v>305</v>
      </c>
      <c r="J398" s="23">
        <f>Vlookup(B398,Product_Tab!$A$2:$C$16,3,FALSE)</f>
        <v>545</v>
      </c>
      <c r="K398" s="23">
        <f t="shared" si="2"/>
        <v>166225</v>
      </c>
      <c r="L398" s="24">
        <f>Vlookup(D398,Customer_Tab!$A$2:$C$10,3,FALSE)</f>
        <v>0.15</v>
      </c>
      <c r="M398" s="23">
        <f t="shared" si="3"/>
        <v>24933.75</v>
      </c>
      <c r="N398" s="25">
        <f t="shared" si="4"/>
        <v>141291.25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  <c r="E399" s="23">
        <f>IFERROR(__xludf.DUMMYFUNCTION("SPLIT(C399,""_"")"),264.0)</f>
        <v>264</v>
      </c>
      <c r="F399" s="23" t="str">
        <f>IFERROR(__xludf.DUMMYFUNCTION("""COMPUTED_VALUE"""),"May")</f>
        <v>May</v>
      </c>
      <c r="G399" s="23">
        <f>IFERROR(__xludf.DUMMYFUNCTION("""COMPUTED_VALUE"""),11.0)</f>
        <v>11</v>
      </c>
      <c r="H399" s="23" t="str">
        <f>IFERROR(__xludf.DUMMYFUNCTION("""COMPUTED_VALUE"""),"ABC0031")</f>
        <v>ABC0031</v>
      </c>
      <c r="I399" s="23">
        <f t="shared" si="1"/>
        <v>264</v>
      </c>
      <c r="J399" s="23">
        <f>Vlookup(B399,Product_Tab!$A$2:$C$16,3,FALSE)</f>
        <v>545</v>
      </c>
      <c r="K399" s="23">
        <f t="shared" si="2"/>
        <v>143880</v>
      </c>
      <c r="L399" s="24">
        <f>Vlookup(D399,Customer_Tab!$A$2:$C$10,3,FALSE)</f>
        <v>0.18</v>
      </c>
      <c r="M399" s="23">
        <f t="shared" si="3"/>
        <v>25898.4</v>
      </c>
      <c r="N399" s="25">
        <f t="shared" si="4"/>
        <v>117981.6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  <c r="E400" s="23">
        <f>IFERROR(__xludf.DUMMYFUNCTION("SPLIT(C400,""_"")"),484.0)</f>
        <v>484</v>
      </c>
      <c r="F400" s="23" t="str">
        <f>IFERROR(__xludf.DUMMYFUNCTION("""COMPUTED_VALUE"""),"May")</f>
        <v>May</v>
      </c>
      <c r="G400" s="23">
        <f>IFERROR(__xludf.DUMMYFUNCTION("""COMPUTED_VALUE"""),27.0)</f>
        <v>27</v>
      </c>
      <c r="H400" s="23" t="str">
        <f>IFERROR(__xludf.DUMMYFUNCTION("""COMPUTED_VALUE"""),"ABC0027")</f>
        <v>ABC0027</v>
      </c>
      <c r="I400" s="23">
        <f t="shared" si="1"/>
        <v>484</v>
      </c>
      <c r="J400" s="23">
        <f>Vlookup(B400,Product_Tab!$A$2:$C$16,3,FALSE)</f>
        <v>545</v>
      </c>
      <c r="K400" s="23">
        <f t="shared" si="2"/>
        <v>263780</v>
      </c>
      <c r="L400" s="24">
        <f>Vlookup(D400,Customer_Tab!$A$2:$C$10,3,FALSE)</f>
        <v>0.18</v>
      </c>
      <c r="M400" s="23">
        <f t="shared" si="3"/>
        <v>47480.4</v>
      </c>
      <c r="N400" s="25">
        <f t="shared" si="4"/>
        <v>216299.6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  <c r="E401" s="23">
        <f>IFERROR(__xludf.DUMMYFUNCTION("SPLIT(C401,""_"")"),440.0)</f>
        <v>440</v>
      </c>
      <c r="F401" s="23" t="str">
        <f>IFERROR(__xludf.DUMMYFUNCTION("""COMPUTED_VALUE"""),"May")</f>
        <v>May</v>
      </c>
      <c r="G401" s="23">
        <f>IFERROR(__xludf.DUMMYFUNCTION("""COMPUTED_VALUE"""),27.0)</f>
        <v>27</v>
      </c>
      <c r="H401" s="23" t="str">
        <f>IFERROR(__xludf.DUMMYFUNCTION("""COMPUTED_VALUE"""),"ABC0026")</f>
        <v>ABC0026</v>
      </c>
      <c r="I401" s="23">
        <f t="shared" si="1"/>
        <v>440</v>
      </c>
      <c r="J401" s="23">
        <f>Vlookup(B401,Product_Tab!$A$2:$C$16,3,FALSE)</f>
        <v>545</v>
      </c>
      <c r="K401" s="23">
        <f t="shared" si="2"/>
        <v>239800</v>
      </c>
      <c r="L401" s="24">
        <f>Vlookup(D401,Customer_Tab!$A$2:$C$10,3,FALSE)</f>
        <v>0.1</v>
      </c>
      <c r="M401" s="23">
        <f t="shared" si="3"/>
        <v>23980</v>
      </c>
      <c r="N401" s="25">
        <f t="shared" si="4"/>
        <v>215820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  <c r="E402" s="23">
        <f>IFERROR(__xludf.DUMMYFUNCTION("SPLIT(C402,""_"")"),226.0)</f>
        <v>226</v>
      </c>
      <c r="F402" s="23" t="str">
        <f>IFERROR(__xludf.DUMMYFUNCTION("""COMPUTED_VALUE"""),"May")</f>
        <v>May</v>
      </c>
      <c r="G402" s="23">
        <f>IFERROR(__xludf.DUMMYFUNCTION("""COMPUTED_VALUE"""),9.0)</f>
        <v>9</v>
      </c>
      <c r="H402" s="23" t="str">
        <f>IFERROR(__xludf.DUMMYFUNCTION("""COMPUTED_VALUE"""),"ABC0023")</f>
        <v>ABC0023</v>
      </c>
      <c r="I402" s="23">
        <f t="shared" si="1"/>
        <v>226</v>
      </c>
      <c r="J402" s="23">
        <f>Vlookup(B402,Product_Tab!$A$2:$C$16,3,FALSE)</f>
        <v>545</v>
      </c>
      <c r="K402" s="23">
        <f t="shared" si="2"/>
        <v>123170</v>
      </c>
      <c r="L402" s="24">
        <f>Vlookup(D402,Customer_Tab!$A$2:$C$10,3,FALSE)</f>
        <v>0.15</v>
      </c>
      <c r="M402" s="23">
        <f t="shared" si="3"/>
        <v>18475.5</v>
      </c>
      <c r="N402" s="25">
        <f t="shared" si="4"/>
        <v>104694.5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  <c r="E403" s="23">
        <f>IFERROR(__xludf.DUMMYFUNCTION("SPLIT(C403,""_"")"),201.0)</f>
        <v>201</v>
      </c>
      <c r="F403" s="23" t="str">
        <f>IFERROR(__xludf.DUMMYFUNCTION("""COMPUTED_VALUE"""),"May")</f>
        <v>May</v>
      </c>
      <c r="G403" s="23">
        <f>IFERROR(__xludf.DUMMYFUNCTION("""COMPUTED_VALUE"""),26.0)</f>
        <v>26</v>
      </c>
      <c r="H403" s="23" t="str">
        <f>IFERROR(__xludf.DUMMYFUNCTION("""COMPUTED_VALUE"""),"ABC0023")</f>
        <v>ABC0023</v>
      </c>
      <c r="I403" s="23">
        <f t="shared" si="1"/>
        <v>201</v>
      </c>
      <c r="J403" s="23">
        <f>Vlookup(B403,Product_Tab!$A$2:$C$16,3,FALSE)</f>
        <v>203</v>
      </c>
      <c r="K403" s="23">
        <f t="shared" si="2"/>
        <v>40803</v>
      </c>
      <c r="L403" s="24">
        <f>Vlookup(D403,Customer_Tab!$A$2:$C$10,3,FALSE)</f>
        <v>0.15</v>
      </c>
      <c r="M403" s="23">
        <f t="shared" si="3"/>
        <v>6120.45</v>
      </c>
      <c r="N403" s="25">
        <f t="shared" si="4"/>
        <v>34682.55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  <c r="E404" s="23">
        <f>IFERROR(__xludf.DUMMYFUNCTION("SPLIT(C404,""_"")"),230.0)</f>
        <v>230</v>
      </c>
      <c r="F404" s="23" t="str">
        <f>IFERROR(__xludf.DUMMYFUNCTION("""COMPUTED_VALUE"""),"May")</f>
        <v>May</v>
      </c>
      <c r="G404" s="23">
        <f>IFERROR(__xludf.DUMMYFUNCTION("""COMPUTED_VALUE"""),10.0)</f>
        <v>10</v>
      </c>
      <c r="H404" s="23" t="str">
        <f>IFERROR(__xludf.DUMMYFUNCTION("""COMPUTED_VALUE"""),"ABC0023")</f>
        <v>ABC0023</v>
      </c>
      <c r="I404" s="23">
        <f t="shared" si="1"/>
        <v>230</v>
      </c>
      <c r="J404" s="23">
        <f>Vlookup(B404,Product_Tab!$A$2:$C$16,3,FALSE)</f>
        <v>131</v>
      </c>
      <c r="K404" s="23">
        <f t="shared" si="2"/>
        <v>30130</v>
      </c>
      <c r="L404" s="24">
        <f>Vlookup(D404,Customer_Tab!$A$2:$C$10,3,FALSE)</f>
        <v>0.18</v>
      </c>
      <c r="M404" s="23">
        <f t="shared" si="3"/>
        <v>5423.4</v>
      </c>
      <c r="N404" s="25">
        <f t="shared" si="4"/>
        <v>24706.6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  <c r="E405" s="23">
        <f>IFERROR(__xludf.DUMMYFUNCTION("SPLIT(C405,""_"")"),403.0)</f>
        <v>403</v>
      </c>
      <c r="F405" s="23" t="str">
        <f>IFERROR(__xludf.DUMMYFUNCTION("""COMPUTED_VALUE"""),"May")</f>
        <v>May</v>
      </c>
      <c r="G405" s="23">
        <f>IFERROR(__xludf.DUMMYFUNCTION("""COMPUTED_VALUE"""),19.0)</f>
        <v>19</v>
      </c>
      <c r="H405" s="23" t="str">
        <f>IFERROR(__xludf.DUMMYFUNCTION("""COMPUTED_VALUE"""),"ABC0023")</f>
        <v>ABC0023</v>
      </c>
      <c r="I405" s="23">
        <f t="shared" si="1"/>
        <v>403</v>
      </c>
      <c r="J405" s="23">
        <f>Vlookup(B405,Product_Tab!$A$2:$C$16,3,FALSE)</f>
        <v>50</v>
      </c>
      <c r="K405" s="23">
        <f t="shared" si="2"/>
        <v>20150</v>
      </c>
      <c r="L405" s="24">
        <f>Vlookup(D405,Customer_Tab!$A$2:$C$10,3,FALSE)</f>
        <v>0.18</v>
      </c>
      <c r="M405" s="23">
        <f t="shared" si="3"/>
        <v>3627</v>
      </c>
      <c r="N405" s="25">
        <f t="shared" si="4"/>
        <v>16523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  <c r="E406" s="23">
        <f>IFERROR(__xludf.DUMMYFUNCTION("SPLIT(C406,""_"")"),235.0)</f>
        <v>235</v>
      </c>
      <c r="F406" s="23" t="str">
        <f>IFERROR(__xludf.DUMMYFUNCTION("""COMPUTED_VALUE"""),"May")</f>
        <v>May</v>
      </c>
      <c r="G406" s="23">
        <f>IFERROR(__xludf.DUMMYFUNCTION("""COMPUTED_VALUE"""),22.0)</f>
        <v>22</v>
      </c>
      <c r="H406" s="23" t="str">
        <f>IFERROR(__xludf.DUMMYFUNCTION("""COMPUTED_VALUE"""),"ABC0023")</f>
        <v>ABC0023</v>
      </c>
      <c r="I406" s="23">
        <f t="shared" si="1"/>
        <v>235</v>
      </c>
      <c r="J406" s="23">
        <f>Vlookup(B406,Product_Tab!$A$2:$C$16,3,FALSE)</f>
        <v>76</v>
      </c>
      <c r="K406" s="23">
        <f t="shared" si="2"/>
        <v>17860</v>
      </c>
      <c r="L406" s="24">
        <f>Vlookup(D406,Customer_Tab!$A$2:$C$10,3,FALSE)</f>
        <v>0.1</v>
      </c>
      <c r="M406" s="23">
        <f t="shared" si="3"/>
        <v>1786</v>
      </c>
      <c r="N406" s="25">
        <f t="shared" si="4"/>
        <v>16074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  <c r="E407" s="23">
        <f>IFERROR(__xludf.DUMMYFUNCTION("SPLIT(C407,""_"")"),223.0)</f>
        <v>223</v>
      </c>
      <c r="F407" s="23" t="str">
        <f>IFERROR(__xludf.DUMMYFUNCTION("""COMPUTED_VALUE"""),"May")</f>
        <v>May</v>
      </c>
      <c r="G407" s="23">
        <f>IFERROR(__xludf.DUMMYFUNCTION("""COMPUTED_VALUE"""),4.0)</f>
        <v>4</v>
      </c>
      <c r="H407" s="23" t="str">
        <f>IFERROR(__xludf.DUMMYFUNCTION("""COMPUTED_VALUE"""),"ABC0023")</f>
        <v>ABC0023</v>
      </c>
      <c r="I407" s="23">
        <f t="shared" si="1"/>
        <v>223</v>
      </c>
      <c r="J407" s="23">
        <f>Vlookup(B407,Product_Tab!$A$2:$C$16,3,FALSE)</f>
        <v>659</v>
      </c>
      <c r="K407" s="23">
        <f t="shared" si="2"/>
        <v>146957</v>
      </c>
      <c r="L407" s="24">
        <f>Vlookup(D407,Customer_Tab!$A$2:$C$10,3,FALSE)</f>
        <v>0.1</v>
      </c>
      <c r="M407" s="23">
        <f t="shared" si="3"/>
        <v>14695.7</v>
      </c>
      <c r="N407" s="25">
        <f t="shared" si="4"/>
        <v>132261.3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  <c r="E408" s="23">
        <f>IFERROR(__xludf.DUMMYFUNCTION("SPLIT(C408,""_"")"),438.0)</f>
        <v>438</v>
      </c>
      <c r="F408" s="23" t="str">
        <f>IFERROR(__xludf.DUMMYFUNCTION("""COMPUTED_VALUE"""),"May")</f>
        <v>May</v>
      </c>
      <c r="G408" s="23">
        <f>IFERROR(__xludf.DUMMYFUNCTION("""COMPUTED_VALUE"""),5.0)</f>
        <v>5</v>
      </c>
      <c r="H408" s="23" t="str">
        <f>IFERROR(__xludf.DUMMYFUNCTION("""COMPUTED_VALUE"""),"ABC0023")</f>
        <v>ABC0023</v>
      </c>
      <c r="I408" s="23">
        <f t="shared" si="1"/>
        <v>438</v>
      </c>
      <c r="J408" s="23">
        <f>Vlookup(B408,Product_Tab!$A$2:$C$16,3,FALSE)</f>
        <v>286</v>
      </c>
      <c r="K408" s="23">
        <f t="shared" si="2"/>
        <v>125268</v>
      </c>
      <c r="L408" s="24">
        <f>Vlookup(D408,Customer_Tab!$A$2:$C$10,3,FALSE)</f>
        <v>0.15</v>
      </c>
      <c r="M408" s="23">
        <f t="shared" si="3"/>
        <v>18790.2</v>
      </c>
      <c r="N408" s="25">
        <f t="shared" si="4"/>
        <v>106477.8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  <c r="E409" s="23">
        <f>IFERROR(__xludf.DUMMYFUNCTION("SPLIT(C409,""_"")"),352.0)</f>
        <v>352</v>
      </c>
      <c r="F409" s="23" t="str">
        <f>IFERROR(__xludf.DUMMYFUNCTION("""COMPUTED_VALUE"""),"May")</f>
        <v>May</v>
      </c>
      <c r="G409" s="23">
        <f>IFERROR(__xludf.DUMMYFUNCTION("""COMPUTED_VALUE"""),17.0)</f>
        <v>17</v>
      </c>
      <c r="H409" s="23" t="str">
        <f>IFERROR(__xludf.DUMMYFUNCTION("""COMPUTED_VALUE"""),"ABC0023")</f>
        <v>ABC0023</v>
      </c>
      <c r="I409" s="23">
        <f t="shared" si="1"/>
        <v>352</v>
      </c>
      <c r="J409" s="23">
        <f>Vlookup(B409,Product_Tab!$A$2:$C$16,3,FALSE)</f>
        <v>223</v>
      </c>
      <c r="K409" s="23">
        <f t="shared" si="2"/>
        <v>78496</v>
      </c>
      <c r="L409" s="24">
        <f>Vlookup(D409,Customer_Tab!$A$2:$C$10,3,FALSE)</f>
        <v>0.18</v>
      </c>
      <c r="M409" s="23">
        <f t="shared" si="3"/>
        <v>14129.28</v>
      </c>
      <c r="N409" s="25">
        <f t="shared" si="4"/>
        <v>64366.72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  <c r="E410" s="23">
        <f>IFERROR(__xludf.DUMMYFUNCTION("SPLIT(C410,""_"")"),307.0)</f>
        <v>307</v>
      </c>
      <c r="F410" s="23" t="str">
        <f>IFERROR(__xludf.DUMMYFUNCTION("""COMPUTED_VALUE"""),"May")</f>
        <v>May</v>
      </c>
      <c r="G410" s="23">
        <f>IFERROR(__xludf.DUMMYFUNCTION("""COMPUTED_VALUE"""),14.0)</f>
        <v>14</v>
      </c>
      <c r="H410" s="23" t="str">
        <f>IFERROR(__xludf.DUMMYFUNCTION("""COMPUTED_VALUE"""),"ABC0023")</f>
        <v>ABC0023</v>
      </c>
      <c r="I410" s="23">
        <f t="shared" si="1"/>
        <v>307</v>
      </c>
      <c r="J410" s="23">
        <f>Vlookup(B410,Product_Tab!$A$2:$C$16,3,FALSE)</f>
        <v>721</v>
      </c>
      <c r="K410" s="23">
        <f t="shared" si="2"/>
        <v>221347</v>
      </c>
      <c r="L410" s="24">
        <f>Vlookup(D410,Customer_Tab!$A$2:$C$10,3,FALSE)</f>
        <v>0.1</v>
      </c>
      <c r="M410" s="23">
        <f t="shared" si="3"/>
        <v>22134.7</v>
      </c>
      <c r="N410" s="25">
        <f t="shared" si="4"/>
        <v>199212.3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  <c r="E411" s="23">
        <f>IFERROR(__xludf.DUMMYFUNCTION("SPLIT(C411,""_"")"),464.0)</f>
        <v>464</v>
      </c>
      <c r="F411" s="23" t="str">
        <f>IFERROR(__xludf.DUMMYFUNCTION("""COMPUTED_VALUE"""),"May")</f>
        <v>May</v>
      </c>
      <c r="G411" s="23">
        <f>IFERROR(__xludf.DUMMYFUNCTION("""COMPUTED_VALUE"""),20.0)</f>
        <v>20</v>
      </c>
      <c r="H411" s="23" t="str">
        <f>IFERROR(__xludf.DUMMYFUNCTION("""COMPUTED_VALUE"""),"ABC0023")</f>
        <v>ABC0023</v>
      </c>
      <c r="I411" s="23">
        <f t="shared" si="1"/>
        <v>464</v>
      </c>
      <c r="J411" s="23">
        <f>Vlookup(B411,Product_Tab!$A$2:$C$16,3,FALSE)</f>
        <v>273</v>
      </c>
      <c r="K411" s="23">
        <f t="shared" si="2"/>
        <v>126672</v>
      </c>
      <c r="L411" s="24">
        <f>Vlookup(D411,Customer_Tab!$A$2:$C$10,3,FALSE)</f>
        <v>0.15</v>
      </c>
      <c r="M411" s="23">
        <f t="shared" si="3"/>
        <v>19000.8</v>
      </c>
      <c r="N411" s="25">
        <f t="shared" si="4"/>
        <v>107671.2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  <c r="E412" s="23">
        <f>IFERROR(__xludf.DUMMYFUNCTION("SPLIT(C412,""_"")"),371.0)</f>
        <v>371</v>
      </c>
      <c r="F412" s="23" t="str">
        <f>IFERROR(__xludf.DUMMYFUNCTION("""COMPUTED_VALUE"""),"May")</f>
        <v>May</v>
      </c>
      <c r="G412" s="23">
        <f>IFERROR(__xludf.DUMMYFUNCTION("""COMPUTED_VALUE"""),8.0)</f>
        <v>8</v>
      </c>
      <c r="H412" s="23" t="str">
        <f>IFERROR(__xludf.DUMMYFUNCTION("""COMPUTED_VALUE"""),"ABC0023")</f>
        <v>ABC0023</v>
      </c>
      <c r="I412" s="23">
        <f t="shared" si="1"/>
        <v>371</v>
      </c>
      <c r="J412" s="23">
        <f>Vlookup(B412,Product_Tab!$A$2:$C$16,3,FALSE)</f>
        <v>151</v>
      </c>
      <c r="K412" s="23">
        <f t="shared" si="2"/>
        <v>56021</v>
      </c>
      <c r="L412" s="24">
        <f>Vlookup(D412,Customer_Tab!$A$2:$C$10,3,FALSE)</f>
        <v>0.15</v>
      </c>
      <c r="M412" s="23">
        <f t="shared" si="3"/>
        <v>8403.15</v>
      </c>
      <c r="N412" s="25">
        <f t="shared" si="4"/>
        <v>47617.85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  <c r="E413" s="23">
        <f>IFERROR(__xludf.DUMMYFUNCTION("SPLIT(C413,""_"")"),348.0)</f>
        <v>348</v>
      </c>
      <c r="F413" s="23" t="str">
        <f>IFERROR(__xludf.DUMMYFUNCTION("""COMPUTED_VALUE"""),"May")</f>
        <v>May</v>
      </c>
      <c r="G413" s="23">
        <f>IFERROR(__xludf.DUMMYFUNCTION("""COMPUTED_VALUE"""),24.0)</f>
        <v>24</v>
      </c>
      <c r="H413" s="23" t="str">
        <f>IFERROR(__xludf.DUMMYFUNCTION("""COMPUTED_VALUE"""),"ABC0023")</f>
        <v>ABC0023</v>
      </c>
      <c r="I413" s="23">
        <f t="shared" si="1"/>
        <v>348</v>
      </c>
      <c r="J413" s="23">
        <f>Vlookup(B413,Product_Tab!$A$2:$C$16,3,FALSE)</f>
        <v>421</v>
      </c>
      <c r="K413" s="23">
        <f t="shared" si="2"/>
        <v>146508</v>
      </c>
      <c r="L413" s="24">
        <f>Vlookup(D413,Customer_Tab!$A$2:$C$10,3,FALSE)</f>
        <v>0.18</v>
      </c>
      <c r="M413" s="23">
        <f t="shared" si="3"/>
        <v>26371.44</v>
      </c>
      <c r="N413" s="25">
        <f t="shared" si="4"/>
        <v>120136.56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  <c r="E414" s="23">
        <f>IFERROR(__xludf.DUMMYFUNCTION("SPLIT(C414,""_"")"),433.0)</f>
        <v>433</v>
      </c>
      <c r="F414" s="23" t="str">
        <f>IFERROR(__xludf.DUMMYFUNCTION("""COMPUTED_VALUE"""),"May")</f>
        <v>May</v>
      </c>
      <c r="G414" s="23">
        <f>IFERROR(__xludf.DUMMYFUNCTION("""COMPUTED_VALUE"""),14.0)</f>
        <v>14</v>
      </c>
      <c r="H414" s="23" t="str">
        <f>IFERROR(__xludf.DUMMYFUNCTION("""COMPUTED_VALUE"""),"ABC0023")</f>
        <v>ABC0023</v>
      </c>
      <c r="I414" s="23">
        <f t="shared" si="1"/>
        <v>433</v>
      </c>
      <c r="J414" s="23">
        <f>Vlookup(B414,Product_Tab!$A$2:$C$16,3,FALSE)</f>
        <v>795</v>
      </c>
      <c r="K414" s="23">
        <f t="shared" si="2"/>
        <v>344235</v>
      </c>
      <c r="L414" s="24">
        <f>Vlookup(D414,Customer_Tab!$A$2:$C$10,3,FALSE)</f>
        <v>0.18</v>
      </c>
      <c r="M414" s="23">
        <f t="shared" si="3"/>
        <v>61962.3</v>
      </c>
      <c r="N414" s="25">
        <f t="shared" si="4"/>
        <v>282272.7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  <c r="E415" s="23">
        <f>IFERROR(__xludf.DUMMYFUNCTION("SPLIT(C415,""_"")"),298.0)</f>
        <v>298</v>
      </c>
      <c r="F415" s="23" t="str">
        <f>IFERROR(__xludf.DUMMYFUNCTION("""COMPUTED_VALUE"""),"May")</f>
        <v>May</v>
      </c>
      <c r="G415" s="23">
        <f>IFERROR(__xludf.DUMMYFUNCTION("""COMPUTED_VALUE"""),23.0)</f>
        <v>23</v>
      </c>
      <c r="H415" s="23" t="str">
        <f>IFERROR(__xludf.DUMMYFUNCTION("""COMPUTED_VALUE"""),"ABC0023")</f>
        <v>ABC0023</v>
      </c>
      <c r="I415" s="23">
        <f t="shared" si="1"/>
        <v>298</v>
      </c>
      <c r="J415" s="23">
        <f>Vlookup(B415,Product_Tab!$A$2:$C$16,3,FALSE)</f>
        <v>652</v>
      </c>
      <c r="K415" s="23">
        <f t="shared" si="2"/>
        <v>194296</v>
      </c>
      <c r="L415" s="24">
        <f>Vlookup(D415,Customer_Tab!$A$2:$C$10,3,FALSE)</f>
        <v>0.1</v>
      </c>
      <c r="M415" s="23">
        <f t="shared" si="3"/>
        <v>19429.6</v>
      </c>
      <c r="N415" s="25">
        <f t="shared" si="4"/>
        <v>174866.4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  <c r="E416" s="23">
        <f>IFERROR(__xludf.DUMMYFUNCTION("SPLIT(C416,""_"")"),495.0)</f>
        <v>495</v>
      </c>
      <c r="F416" s="23" t="str">
        <f>IFERROR(__xludf.DUMMYFUNCTION("""COMPUTED_VALUE"""),"May")</f>
        <v>May</v>
      </c>
      <c r="G416" s="23">
        <f>IFERROR(__xludf.DUMMYFUNCTION("""COMPUTED_VALUE"""),23.0)</f>
        <v>23</v>
      </c>
      <c r="H416" s="23" t="str">
        <f>IFERROR(__xludf.DUMMYFUNCTION("""COMPUTED_VALUE"""),"ABC0023")</f>
        <v>ABC0023</v>
      </c>
      <c r="I416" s="23">
        <f t="shared" si="1"/>
        <v>495</v>
      </c>
      <c r="J416" s="23">
        <f>Vlookup(B416,Product_Tab!$A$2:$C$16,3,FALSE)</f>
        <v>378</v>
      </c>
      <c r="K416" s="23">
        <f t="shared" si="2"/>
        <v>187110</v>
      </c>
      <c r="L416" s="24">
        <f>Vlookup(D416,Customer_Tab!$A$2:$C$10,3,FALSE)</f>
        <v>0.1</v>
      </c>
      <c r="M416" s="23">
        <f t="shared" si="3"/>
        <v>18711</v>
      </c>
      <c r="N416" s="25">
        <f t="shared" si="4"/>
        <v>168399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  <c r="E417" s="23">
        <f>IFERROR(__xludf.DUMMYFUNCTION("SPLIT(C417,""_"")"),289.0)</f>
        <v>289</v>
      </c>
      <c r="F417" s="23" t="str">
        <f>IFERROR(__xludf.DUMMYFUNCTION("""COMPUTED_VALUE"""),"May")</f>
        <v>May</v>
      </c>
      <c r="G417" s="23">
        <f>IFERROR(__xludf.DUMMYFUNCTION("""COMPUTED_VALUE"""),8.0)</f>
        <v>8</v>
      </c>
      <c r="H417" s="23" t="str">
        <f>IFERROR(__xludf.DUMMYFUNCTION("""COMPUTED_VALUE"""),"ABC0023")</f>
        <v>ABC0023</v>
      </c>
      <c r="I417" s="23">
        <f t="shared" si="1"/>
        <v>289</v>
      </c>
      <c r="J417" s="23">
        <f>Vlookup(B417,Product_Tab!$A$2:$C$16,3,FALSE)</f>
        <v>545</v>
      </c>
      <c r="K417" s="23">
        <f t="shared" si="2"/>
        <v>157505</v>
      </c>
      <c r="L417" s="24">
        <f>Vlookup(D417,Customer_Tab!$A$2:$C$10,3,FALSE)</f>
        <v>0.15</v>
      </c>
      <c r="M417" s="23">
        <f t="shared" si="3"/>
        <v>23625.75</v>
      </c>
      <c r="N417" s="25">
        <f t="shared" si="4"/>
        <v>133879.25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  <c r="E418" s="23">
        <f>IFERROR(__xludf.DUMMYFUNCTION("SPLIT(C418,""_"")"),414.0)</f>
        <v>414</v>
      </c>
      <c r="F418" s="23" t="str">
        <f>IFERROR(__xludf.DUMMYFUNCTION("""COMPUTED_VALUE"""),"May")</f>
        <v>May</v>
      </c>
      <c r="G418" s="23">
        <f>IFERROR(__xludf.DUMMYFUNCTION("""COMPUTED_VALUE"""),20.0)</f>
        <v>20</v>
      </c>
      <c r="H418" s="23" t="str">
        <f>IFERROR(__xludf.DUMMYFUNCTION("""COMPUTED_VALUE"""),"ABC0023")</f>
        <v>ABC0023</v>
      </c>
      <c r="I418" s="23">
        <f t="shared" si="1"/>
        <v>414</v>
      </c>
      <c r="J418" s="23">
        <f>Vlookup(B418,Product_Tab!$A$2:$C$16,3,FALSE)</f>
        <v>203</v>
      </c>
      <c r="K418" s="23">
        <f t="shared" si="2"/>
        <v>84042</v>
      </c>
      <c r="L418" s="24">
        <f>Vlookup(D418,Customer_Tab!$A$2:$C$10,3,FALSE)</f>
        <v>0.18</v>
      </c>
      <c r="M418" s="23">
        <f t="shared" si="3"/>
        <v>15127.56</v>
      </c>
      <c r="N418" s="25">
        <f t="shared" si="4"/>
        <v>68914.44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  <c r="E419" s="23">
        <f>IFERROR(__xludf.DUMMYFUNCTION("SPLIT(C419,""_"")"),315.0)</f>
        <v>315</v>
      </c>
      <c r="F419" s="23" t="str">
        <f>IFERROR(__xludf.DUMMYFUNCTION("""COMPUTED_VALUE"""),"May")</f>
        <v>May</v>
      </c>
      <c r="G419" s="23">
        <f>IFERROR(__xludf.DUMMYFUNCTION("""COMPUTED_VALUE"""),15.0)</f>
        <v>15</v>
      </c>
      <c r="H419" s="23" t="str">
        <f>IFERROR(__xludf.DUMMYFUNCTION("""COMPUTED_VALUE"""),"ABC0023")</f>
        <v>ABC0023</v>
      </c>
      <c r="I419" s="23">
        <f t="shared" si="1"/>
        <v>315</v>
      </c>
      <c r="J419" s="23">
        <f>Vlookup(B419,Product_Tab!$A$2:$C$16,3,FALSE)</f>
        <v>131</v>
      </c>
      <c r="K419" s="23">
        <f t="shared" si="2"/>
        <v>41265</v>
      </c>
      <c r="L419" s="24">
        <f>Vlookup(D419,Customer_Tab!$A$2:$C$10,3,FALSE)</f>
        <v>0.1</v>
      </c>
      <c r="M419" s="23">
        <f t="shared" si="3"/>
        <v>4126.5</v>
      </c>
      <c r="N419" s="25">
        <f t="shared" si="4"/>
        <v>37138.5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  <c r="E420" s="23">
        <f>IFERROR(__xludf.DUMMYFUNCTION("SPLIT(C420,""_"")"),387.0)</f>
        <v>387</v>
      </c>
      <c r="F420" s="23" t="str">
        <f>IFERROR(__xludf.DUMMYFUNCTION("""COMPUTED_VALUE"""),"May")</f>
        <v>May</v>
      </c>
      <c r="G420" s="23">
        <f>IFERROR(__xludf.DUMMYFUNCTION("""COMPUTED_VALUE"""),9.0)</f>
        <v>9</v>
      </c>
      <c r="H420" s="23" t="str">
        <f>IFERROR(__xludf.DUMMYFUNCTION("""COMPUTED_VALUE"""),"ABC0023")</f>
        <v>ABC0023</v>
      </c>
      <c r="I420" s="23">
        <f t="shared" si="1"/>
        <v>387</v>
      </c>
      <c r="J420" s="23">
        <f>Vlookup(B420,Product_Tab!$A$2:$C$16,3,FALSE)</f>
        <v>50</v>
      </c>
      <c r="K420" s="23">
        <f t="shared" si="2"/>
        <v>19350</v>
      </c>
      <c r="L420" s="24">
        <f>Vlookup(D420,Customer_Tab!$A$2:$C$10,3,FALSE)</f>
        <v>0.15</v>
      </c>
      <c r="M420" s="23">
        <f t="shared" si="3"/>
        <v>2902.5</v>
      </c>
      <c r="N420" s="25">
        <f t="shared" si="4"/>
        <v>16447.5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  <c r="E421" s="23">
        <f>IFERROR(__xludf.DUMMYFUNCTION("SPLIT(C421,""_"")"),455.0)</f>
        <v>455</v>
      </c>
      <c r="F421" s="23" t="str">
        <f>IFERROR(__xludf.DUMMYFUNCTION("""COMPUTED_VALUE"""),"May")</f>
        <v>May</v>
      </c>
      <c r="G421" s="23">
        <f>IFERROR(__xludf.DUMMYFUNCTION("""COMPUTED_VALUE"""),12.0)</f>
        <v>12</v>
      </c>
      <c r="H421" s="23" t="str">
        <f>IFERROR(__xludf.DUMMYFUNCTION("""COMPUTED_VALUE"""),"ABC0023")</f>
        <v>ABC0023</v>
      </c>
      <c r="I421" s="23">
        <f t="shared" si="1"/>
        <v>455</v>
      </c>
      <c r="J421" s="23">
        <f>Vlookup(B421,Product_Tab!$A$2:$C$16,3,FALSE)</f>
        <v>76</v>
      </c>
      <c r="K421" s="23">
        <f t="shared" si="2"/>
        <v>34580</v>
      </c>
      <c r="L421" s="24">
        <f>Vlookup(D421,Customer_Tab!$A$2:$C$10,3,FALSE)</f>
        <v>0.15</v>
      </c>
      <c r="M421" s="23">
        <f t="shared" si="3"/>
        <v>5187</v>
      </c>
      <c r="N421" s="25">
        <f t="shared" si="4"/>
        <v>29393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  <c r="E422" s="23">
        <f>IFERROR(__xludf.DUMMYFUNCTION("SPLIT(C422,""_"")"),294.0)</f>
        <v>294</v>
      </c>
      <c r="F422" s="23" t="str">
        <f>IFERROR(__xludf.DUMMYFUNCTION("""COMPUTED_VALUE"""),"May")</f>
        <v>May</v>
      </c>
      <c r="G422" s="23">
        <f>IFERROR(__xludf.DUMMYFUNCTION("""COMPUTED_VALUE"""),11.0)</f>
        <v>11</v>
      </c>
      <c r="H422" s="23" t="str">
        <f>IFERROR(__xludf.DUMMYFUNCTION("""COMPUTED_VALUE"""),"ABC0023")</f>
        <v>ABC0023</v>
      </c>
      <c r="I422" s="23">
        <f t="shared" si="1"/>
        <v>294</v>
      </c>
      <c r="J422" s="23">
        <f>Vlookup(B422,Product_Tab!$A$2:$C$16,3,FALSE)</f>
        <v>659</v>
      </c>
      <c r="K422" s="23">
        <f t="shared" si="2"/>
        <v>193746</v>
      </c>
      <c r="L422" s="24">
        <f>Vlookup(D422,Customer_Tab!$A$2:$C$10,3,FALSE)</f>
        <v>0.18</v>
      </c>
      <c r="M422" s="23">
        <f t="shared" si="3"/>
        <v>34874.28</v>
      </c>
      <c r="N422" s="25">
        <f t="shared" si="4"/>
        <v>158871.72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  <c r="E423" s="23">
        <f>IFERROR(__xludf.DUMMYFUNCTION("SPLIT(C423,""_"")"),283.0)</f>
        <v>283</v>
      </c>
      <c r="F423" s="23" t="str">
        <f>IFERROR(__xludf.DUMMYFUNCTION("""COMPUTED_VALUE"""),"May")</f>
        <v>May</v>
      </c>
      <c r="G423" s="23">
        <f>IFERROR(__xludf.DUMMYFUNCTION("""COMPUTED_VALUE"""),17.0)</f>
        <v>17</v>
      </c>
      <c r="H423" s="23" t="str">
        <f>IFERROR(__xludf.DUMMYFUNCTION("""COMPUTED_VALUE"""),"ABC0023")</f>
        <v>ABC0023</v>
      </c>
      <c r="I423" s="23">
        <f t="shared" si="1"/>
        <v>283</v>
      </c>
      <c r="J423" s="23">
        <f>Vlookup(B423,Product_Tab!$A$2:$C$16,3,FALSE)</f>
        <v>286</v>
      </c>
      <c r="K423" s="23">
        <f t="shared" si="2"/>
        <v>80938</v>
      </c>
      <c r="L423" s="24">
        <f>Vlookup(D423,Customer_Tab!$A$2:$C$10,3,FALSE)</f>
        <v>0.18</v>
      </c>
      <c r="M423" s="23">
        <f t="shared" si="3"/>
        <v>14568.84</v>
      </c>
      <c r="N423" s="25">
        <f t="shared" si="4"/>
        <v>66369.16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  <c r="E424" s="23">
        <f>IFERROR(__xludf.DUMMYFUNCTION("SPLIT(C424,""_"")"),222.0)</f>
        <v>222</v>
      </c>
      <c r="F424" s="23" t="str">
        <f>IFERROR(__xludf.DUMMYFUNCTION("""COMPUTED_VALUE"""),"May")</f>
        <v>May</v>
      </c>
      <c r="G424" s="23">
        <f>IFERROR(__xludf.DUMMYFUNCTION("""COMPUTED_VALUE"""),19.0)</f>
        <v>19</v>
      </c>
      <c r="H424" s="23" t="str">
        <f>IFERROR(__xludf.DUMMYFUNCTION("""COMPUTED_VALUE"""),"ABC0023")</f>
        <v>ABC0023</v>
      </c>
      <c r="I424" s="23">
        <f t="shared" si="1"/>
        <v>222</v>
      </c>
      <c r="J424" s="23">
        <f>Vlookup(B424,Product_Tab!$A$2:$C$16,3,FALSE)</f>
        <v>223</v>
      </c>
      <c r="K424" s="23">
        <f t="shared" si="2"/>
        <v>49506</v>
      </c>
      <c r="L424" s="24">
        <f>Vlookup(D424,Customer_Tab!$A$2:$C$10,3,FALSE)</f>
        <v>0.1</v>
      </c>
      <c r="M424" s="23">
        <f t="shared" si="3"/>
        <v>4950.6</v>
      </c>
      <c r="N424" s="25">
        <f t="shared" si="4"/>
        <v>44555.4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  <c r="E425" s="23">
        <f>IFERROR(__xludf.DUMMYFUNCTION("SPLIT(C425,""_"")"),403.0)</f>
        <v>403</v>
      </c>
      <c r="F425" s="23" t="str">
        <f>IFERROR(__xludf.DUMMYFUNCTION("""COMPUTED_VALUE"""),"May")</f>
        <v>May</v>
      </c>
      <c r="G425" s="23">
        <f>IFERROR(__xludf.DUMMYFUNCTION("""COMPUTED_VALUE"""),14.0)</f>
        <v>14</v>
      </c>
      <c r="H425" s="23" t="str">
        <f>IFERROR(__xludf.DUMMYFUNCTION("""COMPUTED_VALUE"""),"ABC0023")</f>
        <v>ABC0023</v>
      </c>
      <c r="I425" s="23">
        <f t="shared" si="1"/>
        <v>403</v>
      </c>
      <c r="J425" s="23">
        <f>Vlookup(B425,Product_Tab!$A$2:$C$16,3,FALSE)</f>
        <v>721</v>
      </c>
      <c r="K425" s="23">
        <f t="shared" si="2"/>
        <v>290563</v>
      </c>
      <c r="L425" s="24">
        <f>Vlookup(D425,Customer_Tab!$A$2:$C$10,3,FALSE)</f>
        <v>0.1</v>
      </c>
      <c r="M425" s="23">
        <f t="shared" si="3"/>
        <v>29056.3</v>
      </c>
      <c r="N425" s="25">
        <f t="shared" si="4"/>
        <v>261506.7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  <c r="E426" s="23">
        <f>IFERROR(__xludf.DUMMYFUNCTION("SPLIT(C426,""_"")"),286.0)</f>
        <v>286</v>
      </c>
      <c r="F426" s="23" t="str">
        <f>IFERROR(__xludf.DUMMYFUNCTION("""COMPUTED_VALUE"""),"May")</f>
        <v>May</v>
      </c>
      <c r="G426" s="23">
        <f>IFERROR(__xludf.DUMMYFUNCTION("""COMPUTED_VALUE"""),6.0)</f>
        <v>6</v>
      </c>
      <c r="H426" s="23" t="str">
        <f>IFERROR(__xludf.DUMMYFUNCTION("""COMPUTED_VALUE"""),"ABC0023")</f>
        <v>ABC0023</v>
      </c>
      <c r="I426" s="23">
        <f t="shared" si="1"/>
        <v>286</v>
      </c>
      <c r="J426" s="23">
        <f>Vlookup(B426,Product_Tab!$A$2:$C$16,3,FALSE)</f>
        <v>273</v>
      </c>
      <c r="K426" s="23">
        <f t="shared" si="2"/>
        <v>78078</v>
      </c>
      <c r="L426" s="24">
        <f>Vlookup(D426,Customer_Tab!$A$2:$C$10,3,FALSE)</f>
        <v>0.15</v>
      </c>
      <c r="M426" s="23">
        <f t="shared" si="3"/>
        <v>11711.7</v>
      </c>
      <c r="N426" s="25">
        <f t="shared" si="4"/>
        <v>66366.3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  <c r="E427" s="23">
        <f>IFERROR(__xludf.DUMMYFUNCTION("SPLIT(C427,""_"")"),421.0)</f>
        <v>421</v>
      </c>
      <c r="F427" s="23" t="str">
        <f>IFERROR(__xludf.DUMMYFUNCTION("""COMPUTED_VALUE"""),"May")</f>
        <v>May</v>
      </c>
      <c r="G427" s="23">
        <f>IFERROR(__xludf.DUMMYFUNCTION("""COMPUTED_VALUE"""),11.0)</f>
        <v>11</v>
      </c>
      <c r="H427" s="23" t="str">
        <f>IFERROR(__xludf.DUMMYFUNCTION("""COMPUTED_VALUE"""),"ABC0023")</f>
        <v>ABC0023</v>
      </c>
      <c r="I427" s="23">
        <f t="shared" si="1"/>
        <v>421</v>
      </c>
      <c r="J427" s="23">
        <f>Vlookup(B427,Product_Tab!$A$2:$C$16,3,FALSE)</f>
        <v>151</v>
      </c>
      <c r="K427" s="23">
        <f t="shared" si="2"/>
        <v>63571</v>
      </c>
      <c r="L427" s="24">
        <f>Vlookup(D427,Customer_Tab!$A$2:$C$10,3,FALSE)</f>
        <v>0.18</v>
      </c>
      <c r="M427" s="23">
        <f t="shared" si="3"/>
        <v>11442.78</v>
      </c>
      <c r="N427" s="25">
        <f t="shared" si="4"/>
        <v>52128.22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  <c r="E428" s="23">
        <f>IFERROR(__xludf.DUMMYFUNCTION("SPLIT(C428,""_"")"),482.0)</f>
        <v>482</v>
      </c>
      <c r="F428" s="23" t="str">
        <f>IFERROR(__xludf.DUMMYFUNCTION("""COMPUTED_VALUE"""),"May")</f>
        <v>May</v>
      </c>
      <c r="G428" s="23">
        <f>IFERROR(__xludf.DUMMYFUNCTION("""COMPUTED_VALUE"""),14.0)</f>
        <v>14</v>
      </c>
      <c r="H428" s="23" t="str">
        <f>IFERROR(__xludf.DUMMYFUNCTION("""COMPUTED_VALUE"""),"ABC0023")</f>
        <v>ABC0023</v>
      </c>
      <c r="I428" s="23">
        <f t="shared" si="1"/>
        <v>482</v>
      </c>
      <c r="J428" s="23">
        <f>Vlookup(B428,Product_Tab!$A$2:$C$16,3,FALSE)</f>
        <v>421</v>
      </c>
      <c r="K428" s="23">
        <f t="shared" si="2"/>
        <v>202922</v>
      </c>
      <c r="L428" s="24">
        <f>Vlookup(D428,Customer_Tab!$A$2:$C$10,3,FALSE)</f>
        <v>0.1</v>
      </c>
      <c r="M428" s="23">
        <f t="shared" si="3"/>
        <v>20292.2</v>
      </c>
      <c r="N428" s="25">
        <f t="shared" si="4"/>
        <v>182629.8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  <c r="E429" s="23">
        <f>IFERROR(__xludf.DUMMYFUNCTION("SPLIT(C429,""_"")"),292.0)</f>
        <v>292</v>
      </c>
      <c r="F429" s="23" t="str">
        <f>IFERROR(__xludf.DUMMYFUNCTION("""COMPUTED_VALUE"""),"May")</f>
        <v>May</v>
      </c>
      <c r="G429" s="23">
        <f>IFERROR(__xludf.DUMMYFUNCTION("""COMPUTED_VALUE"""),13.0)</f>
        <v>13</v>
      </c>
      <c r="H429" s="23" t="str">
        <f>IFERROR(__xludf.DUMMYFUNCTION("""COMPUTED_VALUE"""),"ABC0023")</f>
        <v>ABC0023</v>
      </c>
      <c r="I429" s="23">
        <f t="shared" si="1"/>
        <v>292</v>
      </c>
      <c r="J429" s="23">
        <f>Vlookup(B429,Product_Tab!$A$2:$C$16,3,FALSE)</f>
        <v>795</v>
      </c>
      <c r="K429" s="23">
        <f t="shared" si="2"/>
        <v>232140</v>
      </c>
      <c r="L429" s="24">
        <f>Vlookup(D429,Customer_Tab!$A$2:$C$10,3,FALSE)</f>
        <v>0.15</v>
      </c>
      <c r="M429" s="23">
        <f t="shared" si="3"/>
        <v>34821</v>
      </c>
      <c r="N429" s="25">
        <f t="shared" si="4"/>
        <v>197319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  <c r="E430" s="23">
        <f>IFERROR(__xludf.DUMMYFUNCTION("SPLIT(C430,""_"")"),445.0)</f>
        <v>445</v>
      </c>
      <c r="F430" s="23" t="str">
        <f>IFERROR(__xludf.DUMMYFUNCTION("""COMPUTED_VALUE"""),"May")</f>
        <v>May</v>
      </c>
      <c r="G430" s="23">
        <f>IFERROR(__xludf.DUMMYFUNCTION("""COMPUTED_VALUE"""),1.0)</f>
        <v>1</v>
      </c>
      <c r="H430" s="23" t="str">
        <f>IFERROR(__xludf.DUMMYFUNCTION("""COMPUTED_VALUE"""),"ABC0023")</f>
        <v>ABC0023</v>
      </c>
      <c r="I430" s="23">
        <f t="shared" si="1"/>
        <v>445</v>
      </c>
      <c r="J430" s="23">
        <f>Vlookup(B430,Product_Tab!$A$2:$C$16,3,FALSE)</f>
        <v>652</v>
      </c>
      <c r="K430" s="23">
        <f t="shared" si="2"/>
        <v>290140</v>
      </c>
      <c r="L430" s="24">
        <f>Vlookup(D430,Customer_Tab!$A$2:$C$10,3,FALSE)</f>
        <v>0.15</v>
      </c>
      <c r="M430" s="23">
        <f t="shared" si="3"/>
        <v>43521</v>
      </c>
      <c r="N430" s="25">
        <f t="shared" si="4"/>
        <v>246619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  <c r="E431" s="23">
        <f>IFERROR(__xludf.DUMMYFUNCTION("SPLIT(C431,""_"")"),376.0)</f>
        <v>376</v>
      </c>
      <c r="F431" s="23" t="str">
        <f>IFERROR(__xludf.DUMMYFUNCTION("""COMPUTED_VALUE"""),"May")</f>
        <v>May</v>
      </c>
      <c r="G431" s="23">
        <f>IFERROR(__xludf.DUMMYFUNCTION("""COMPUTED_VALUE"""),27.0)</f>
        <v>27</v>
      </c>
      <c r="H431" s="23" t="str">
        <f>IFERROR(__xludf.DUMMYFUNCTION("""COMPUTED_VALUE"""),"ABC0023")</f>
        <v>ABC0023</v>
      </c>
      <c r="I431" s="23">
        <f t="shared" si="1"/>
        <v>376</v>
      </c>
      <c r="J431" s="23">
        <f>Vlookup(B431,Product_Tab!$A$2:$C$16,3,FALSE)</f>
        <v>378</v>
      </c>
      <c r="K431" s="23">
        <f t="shared" si="2"/>
        <v>142128</v>
      </c>
      <c r="L431" s="24">
        <f>Vlookup(D431,Customer_Tab!$A$2:$C$10,3,FALSE)</f>
        <v>0.18</v>
      </c>
      <c r="M431" s="23">
        <f t="shared" si="3"/>
        <v>25583.04</v>
      </c>
      <c r="N431" s="25">
        <f t="shared" si="4"/>
        <v>116544.96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  <c r="E432" s="23">
        <f>IFERROR(__xludf.DUMMYFUNCTION("SPLIT(C432,""_"")"),478.0)</f>
        <v>478</v>
      </c>
      <c r="F432" s="23" t="str">
        <f>IFERROR(__xludf.DUMMYFUNCTION("""COMPUTED_VALUE"""),"May")</f>
        <v>May</v>
      </c>
      <c r="G432" s="23">
        <f>IFERROR(__xludf.DUMMYFUNCTION("""COMPUTED_VALUE"""),14.0)</f>
        <v>14</v>
      </c>
      <c r="H432" s="23" t="str">
        <f>IFERROR(__xludf.DUMMYFUNCTION("""COMPUTED_VALUE"""),"ABC0023")</f>
        <v>ABC0023</v>
      </c>
      <c r="I432" s="23">
        <f t="shared" si="1"/>
        <v>478</v>
      </c>
      <c r="J432" s="23">
        <f>Vlookup(B432,Product_Tab!$A$2:$C$16,3,FALSE)</f>
        <v>545</v>
      </c>
      <c r="K432" s="23">
        <f t="shared" si="2"/>
        <v>260510</v>
      </c>
      <c r="L432" s="24">
        <f>Vlookup(D432,Customer_Tab!$A$2:$C$10,3,FALSE)</f>
        <v>0.18</v>
      </c>
      <c r="M432" s="23">
        <f t="shared" si="3"/>
        <v>46891.8</v>
      </c>
      <c r="N432" s="25">
        <f t="shared" si="4"/>
        <v>213618.2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  <c r="E433" s="23">
        <f>IFERROR(__xludf.DUMMYFUNCTION("SPLIT(C433,""_"")"),447.0)</f>
        <v>447</v>
      </c>
      <c r="F433" s="23" t="str">
        <f>IFERROR(__xludf.DUMMYFUNCTION("""COMPUTED_VALUE"""),"May")</f>
        <v>May</v>
      </c>
      <c r="G433" s="23">
        <f>IFERROR(__xludf.DUMMYFUNCTION("""COMPUTED_VALUE"""),3.0)</f>
        <v>3</v>
      </c>
      <c r="H433" s="23" t="str">
        <f>IFERROR(__xludf.DUMMYFUNCTION("""COMPUTED_VALUE"""),"ABC0023")</f>
        <v>ABC0023</v>
      </c>
      <c r="I433" s="23">
        <f t="shared" si="1"/>
        <v>447</v>
      </c>
      <c r="J433" s="23">
        <f>Vlookup(B433,Product_Tab!$A$2:$C$16,3,FALSE)</f>
        <v>203</v>
      </c>
      <c r="K433" s="23">
        <f t="shared" si="2"/>
        <v>90741</v>
      </c>
      <c r="L433" s="24">
        <f>Vlookup(D433,Customer_Tab!$A$2:$C$10,3,FALSE)</f>
        <v>0.1</v>
      </c>
      <c r="M433" s="23">
        <f t="shared" si="3"/>
        <v>9074.1</v>
      </c>
      <c r="N433" s="25">
        <f t="shared" si="4"/>
        <v>81666.9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  <c r="E434" s="23">
        <f>IFERROR(__xludf.DUMMYFUNCTION("SPLIT(C434,""_"")"),231.0)</f>
        <v>231</v>
      </c>
      <c r="F434" s="23" t="str">
        <f>IFERROR(__xludf.DUMMYFUNCTION("""COMPUTED_VALUE"""),"May")</f>
        <v>May</v>
      </c>
      <c r="G434" s="23">
        <f>IFERROR(__xludf.DUMMYFUNCTION("""COMPUTED_VALUE"""),9.0)</f>
        <v>9</v>
      </c>
      <c r="H434" s="23" t="str">
        <f>IFERROR(__xludf.DUMMYFUNCTION("""COMPUTED_VALUE"""),"ABC0023")</f>
        <v>ABC0023</v>
      </c>
      <c r="I434" s="23">
        <f t="shared" si="1"/>
        <v>231</v>
      </c>
      <c r="J434" s="23">
        <f>Vlookup(B434,Product_Tab!$A$2:$C$16,3,FALSE)</f>
        <v>131</v>
      </c>
      <c r="K434" s="23">
        <f t="shared" si="2"/>
        <v>30261</v>
      </c>
      <c r="L434" s="24">
        <f>Vlookup(D434,Customer_Tab!$A$2:$C$10,3,FALSE)</f>
        <v>0.1</v>
      </c>
      <c r="M434" s="23">
        <f t="shared" si="3"/>
        <v>3026.1</v>
      </c>
      <c r="N434" s="25">
        <f t="shared" si="4"/>
        <v>27234.9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  <c r="E435" s="23">
        <f>IFERROR(__xludf.DUMMYFUNCTION("SPLIT(C435,""_"")"),210.0)</f>
        <v>210</v>
      </c>
      <c r="F435" s="23" t="str">
        <f>IFERROR(__xludf.DUMMYFUNCTION("""COMPUTED_VALUE"""),"May")</f>
        <v>May</v>
      </c>
      <c r="G435" s="23">
        <f>IFERROR(__xludf.DUMMYFUNCTION("""COMPUTED_VALUE"""),22.0)</f>
        <v>22</v>
      </c>
      <c r="H435" s="23" t="str">
        <f>IFERROR(__xludf.DUMMYFUNCTION("""COMPUTED_VALUE"""),"ABC0023")</f>
        <v>ABC0023</v>
      </c>
      <c r="I435" s="23">
        <f t="shared" si="1"/>
        <v>210</v>
      </c>
      <c r="J435" s="23">
        <f>Vlookup(B435,Product_Tab!$A$2:$C$16,3,FALSE)</f>
        <v>50</v>
      </c>
      <c r="K435" s="23">
        <f t="shared" si="2"/>
        <v>10500</v>
      </c>
      <c r="L435" s="24">
        <f>Vlookup(D435,Customer_Tab!$A$2:$C$10,3,FALSE)</f>
        <v>0.15</v>
      </c>
      <c r="M435" s="23">
        <f t="shared" si="3"/>
        <v>1575</v>
      </c>
      <c r="N435" s="25">
        <f t="shared" si="4"/>
        <v>8925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  <c r="E436" s="23">
        <f>IFERROR(__xludf.DUMMYFUNCTION("SPLIT(C436,""_"")"),398.0)</f>
        <v>398</v>
      </c>
      <c r="F436" s="23" t="str">
        <f>IFERROR(__xludf.DUMMYFUNCTION("""COMPUTED_VALUE"""),"May")</f>
        <v>May</v>
      </c>
      <c r="G436" s="23">
        <f>IFERROR(__xludf.DUMMYFUNCTION("""COMPUTED_VALUE"""),6.0)</f>
        <v>6</v>
      </c>
      <c r="H436" s="23" t="str">
        <f>IFERROR(__xludf.DUMMYFUNCTION("""COMPUTED_VALUE"""),"ABC0023")</f>
        <v>ABC0023</v>
      </c>
      <c r="I436" s="23">
        <f t="shared" si="1"/>
        <v>398</v>
      </c>
      <c r="J436" s="23">
        <f>Vlookup(B436,Product_Tab!$A$2:$C$16,3,FALSE)</f>
        <v>76</v>
      </c>
      <c r="K436" s="23">
        <f t="shared" si="2"/>
        <v>30248</v>
      </c>
      <c r="L436" s="24">
        <f>Vlookup(D436,Customer_Tab!$A$2:$C$10,3,FALSE)</f>
        <v>0.18</v>
      </c>
      <c r="M436" s="23">
        <f t="shared" si="3"/>
        <v>5444.64</v>
      </c>
      <c r="N436" s="25">
        <f t="shared" si="4"/>
        <v>24803.36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  <c r="E437" s="23">
        <f>IFERROR(__xludf.DUMMYFUNCTION("SPLIT(C437,""_"")"),361.0)</f>
        <v>361</v>
      </c>
      <c r="F437" s="23" t="str">
        <f>IFERROR(__xludf.DUMMYFUNCTION("""COMPUTED_VALUE"""),"May")</f>
        <v>May</v>
      </c>
      <c r="G437" s="23">
        <f>IFERROR(__xludf.DUMMYFUNCTION("""COMPUTED_VALUE"""),6.0)</f>
        <v>6</v>
      </c>
      <c r="H437" s="23" t="str">
        <f>IFERROR(__xludf.DUMMYFUNCTION("""COMPUTED_VALUE"""),"ABC0023")</f>
        <v>ABC0023</v>
      </c>
      <c r="I437" s="23">
        <f t="shared" si="1"/>
        <v>361</v>
      </c>
      <c r="J437" s="23">
        <f>Vlookup(B437,Product_Tab!$A$2:$C$16,3,FALSE)</f>
        <v>659</v>
      </c>
      <c r="K437" s="23">
        <f t="shared" si="2"/>
        <v>237899</v>
      </c>
      <c r="L437" s="24">
        <f>Vlookup(D437,Customer_Tab!$A$2:$C$10,3,FALSE)</f>
        <v>0.1</v>
      </c>
      <c r="M437" s="23">
        <f t="shared" si="3"/>
        <v>23789.9</v>
      </c>
      <c r="N437" s="25">
        <f t="shared" si="4"/>
        <v>214109.1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  <c r="E438" s="23">
        <f>IFERROR(__xludf.DUMMYFUNCTION("SPLIT(C438,""_"")"),325.0)</f>
        <v>325</v>
      </c>
      <c r="F438" s="23" t="str">
        <f>IFERROR(__xludf.DUMMYFUNCTION("""COMPUTED_VALUE"""),"May")</f>
        <v>May</v>
      </c>
      <c r="G438" s="23">
        <f>IFERROR(__xludf.DUMMYFUNCTION("""COMPUTED_VALUE"""),19.0)</f>
        <v>19</v>
      </c>
      <c r="H438" s="23" t="str">
        <f>IFERROR(__xludf.DUMMYFUNCTION("""COMPUTED_VALUE"""),"ABC0023")</f>
        <v>ABC0023</v>
      </c>
      <c r="I438" s="23">
        <f t="shared" si="1"/>
        <v>325</v>
      </c>
      <c r="J438" s="23">
        <f>Vlookup(B438,Product_Tab!$A$2:$C$16,3,FALSE)</f>
        <v>286</v>
      </c>
      <c r="K438" s="23">
        <f t="shared" si="2"/>
        <v>92950</v>
      </c>
      <c r="L438" s="24">
        <f>Vlookup(D438,Customer_Tab!$A$2:$C$10,3,FALSE)</f>
        <v>0.15</v>
      </c>
      <c r="M438" s="23">
        <f t="shared" si="3"/>
        <v>13942.5</v>
      </c>
      <c r="N438" s="25">
        <f t="shared" si="4"/>
        <v>79007.5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  <c r="E439" s="23">
        <f>IFERROR(__xludf.DUMMYFUNCTION("SPLIT(C439,""_"")"),287.0)</f>
        <v>287</v>
      </c>
      <c r="F439" s="23" t="str">
        <f>IFERROR(__xludf.DUMMYFUNCTION("""COMPUTED_VALUE"""),"May")</f>
        <v>May</v>
      </c>
      <c r="G439" s="23">
        <f>IFERROR(__xludf.DUMMYFUNCTION("""COMPUTED_VALUE"""),23.0)</f>
        <v>23</v>
      </c>
      <c r="H439" s="23" t="str">
        <f>IFERROR(__xludf.DUMMYFUNCTION("""COMPUTED_VALUE"""),"ABC0023")</f>
        <v>ABC0023</v>
      </c>
      <c r="I439" s="23">
        <f t="shared" si="1"/>
        <v>287</v>
      </c>
      <c r="J439" s="23">
        <f>Vlookup(B439,Product_Tab!$A$2:$C$16,3,FALSE)</f>
        <v>223</v>
      </c>
      <c r="K439" s="23">
        <f t="shared" si="2"/>
        <v>64001</v>
      </c>
      <c r="L439" s="24">
        <f>Vlookup(D439,Customer_Tab!$A$2:$C$10,3,FALSE)</f>
        <v>0.15</v>
      </c>
      <c r="M439" s="23">
        <f t="shared" si="3"/>
        <v>9600.15</v>
      </c>
      <c r="N439" s="25">
        <f t="shared" si="4"/>
        <v>54400.85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  <c r="E440" s="23">
        <f>IFERROR(__xludf.DUMMYFUNCTION("SPLIT(C440,""_"")"),295.0)</f>
        <v>295</v>
      </c>
      <c r="F440" s="23" t="str">
        <f>IFERROR(__xludf.DUMMYFUNCTION("""COMPUTED_VALUE"""),"May")</f>
        <v>May</v>
      </c>
      <c r="G440" s="23">
        <f>IFERROR(__xludf.DUMMYFUNCTION("""COMPUTED_VALUE"""),2.0)</f>
        <v>2</v>
      </c>
      <c r="H440" s="23" t="str">
        <f>IFERROR(__xludf.DUMMYFUNCTION("""COMPUTED_VALUE"""),"ABC0023")</f>
        <v>ABC0023</v>
      </c>
      <c r="I440" s="23">
        <f t="shared" si="1"/>
        <v>295</v>
      </c>
      <c r="J440" s="23">
        <f>Vlookup(B440,Product_Tab!$A$2:$C$16,3,FALSE)</f>
        <v>721</v>
      </c>
      <c r="K440" s="23">
        <f t="shared" si="2"/>
        <v>212695</v>
      </c>
      <c r="L440" s="24">
        <f>Vlookup(D440,Customer_Tab!$A$2:$C$10,3,FALSE)</f>
        <v>0.18</v>
      </c>
      <c r="M440" s="23">
        <f t="shared" si="3"/>
        <v>38285.1</v>
      </c>
      <c r="N440" s="25">
        <f t="shared" si="4"/>
        <v>174409.9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  <c r="E441" s="23">
        <f>IFERROR(__xludf.DUMMYFUNCTION("SPLIT(C441,""_"")"),381.0)</f>
        <v>381</v>
      </c>
      <c r="F441" s="23" t="str">
        <f>IFERROR(__xludf.DUMMYFUNCTION("""COMPUTED_VALUE"""),"May")</f>
        <v>May</v>
      </c>
      <c r="G441" s="23">
        <f>IFERROR(__xludf.DUMMYFUNCTION("""COMPUTED_VALUE"""),2.0)</f>
        <v>2</v>
      </c>
      <c r="H441" s="23" t="str">
        <f>IFERROR(__xludf.DUMMYFUNCTION("""COMPUTED_VALUE"""),"ABC0023")</f>
        <v>ABC0023</v>
      </c>
      <c r="I441" s="23">
        <f t="shared" si="1"/>
        <v>381</v>
      </c>
      <c r="J441" s="23">
        <f>Vlookup(B441,Product_Tab!$A$2:$C$16,3,FALSE)</f>
        <v>273</v>
      </c>
      <c r="K441" s="23">
        <f t="shared" si="2"/>
        <v>104013</v>
      </c>
      <c r="L441" s="24">
        <f>Vlookup(D441,Customer_Tab!$A$2:$C$10,3,FALSE)</f>
        <v>0.18</v>
      </c>
      <c r="M441" s="23">
        <f t="shared" si="3"/>
        <v>18722.34</v>
      </c>
      <c r="N441" s="25">
        <f t="shared" si="4"/>
        <v>85290.66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  <c r="E442" s="23">
        <f>IFERROR(__xludf.DUMMYFUNCTION("SPLIT(C442,""_"")"),481.0)</f>
        <v>481</v>
      </c>
      <c r="F442" s="23" t="str">
        <f>IFERROR(__xludf.DUMMYFUNCTION("""COMPUTED_VALUE"""),"May")</f>
        <v>May</v>
      </c>
      <c r="G442" s="23">
        <f>IFERROR(__xludf.DUMMYFUNCTION("""COMPUTED_VALUE"""),16.0)</f>
        <v>16</v>
      </c>
      <c r="H442" s="23" t="str">
        <f>IFERROR(__xludf.DUMMYFUNCTION("""COMPUTED_VALUE"""),"ABC0023")</f>
        <v>ABC0023</v>
      </c>
      <c r="I442" s="23">
        <f t="shared" si="1"/>
        <v>481</v>
      </c>
      <c r="J442" s="23">
        <f>Vlookup(B442,Product_Tab!$A$2:$C$16,3,FALSE)</f>
        <v>151</v>
      </c>
      <c r="K442" s="23">
        <f t="shared" si="2"/>
        <v>72631</v>
      </c>
      <c r="L442" s="24">
        <f>Vlookup(D442,Customer_Tab!$A$2:$C$10,3,FALSE)</f>
        <v>0.1</v>
      </c>
      <c r="M442" s="23">
        <f t="shared" si="3"/>
        <v>7263.1</v>
      </c>
      <c r="N442" s="25">
        <f t="shared" si="4"/>
        <v>65367.9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  <c r="E443" s="23">
        <f>IFERROR(__xludf.DUMMYFUNCTION("SPLIT(C443,""_"")"),350.0)</f>
        <v>350</v>
      </c>
      <c r="F443" s="23" t="str">
        <f>IFERROR(__xludf.DUMMYFUNCTION("""COMPUTED_VALUE"""),"May")</f>
        <v>May</v>
      </c>
      <c r="G443" s="23">
        <f>IFERROR(__xludf.DUMMYFUNCTION("""COMPUTED_VALUE"""),27.0)</f>
        <v>27</v>
      </c>
      <c r="H443" s="23" t="str">
        <f>IFERROR(__xludf.DUMMYFUNCTION("""COMPUTED_VALUE"""),"ABC0023")</f>
        <v>ABC0023</v>
      </c>
      <c r="I443" s="23">
        <f t="shared" si="1"/>
        <v>350</v>
      </c>
      <c r="J443" s="23">
        <f>Vlookup(B443,Product_Tab!$A$2:$C$16,3,FALSE)</f>
        <v>421</v>
      </c>
      <c r="K443" s="23">
        <f t="shared" si="2"/>
        <v>147350</v>
      </c>
      <c r="L443" s="24">
        <f>Vlookup(D443,Customer_Tab!$A$2:$C$10,3,FALSE)</f>
        <v>0.1</v>
      </c>
      <c r="M443" s="23">
        <f t="shared" si="3"/>
        <v>14735</v>
      </c>
      <c r="N443" s="25">
        <f t="shared" si="4"/>
        <v>132615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  <c r="E444" s="23">
        <f>IFERROR(__xludf.DUMMYFUNCTION("SPLIT(C444,""_"")"),427.0)</f>
        <v>427</v>
      </c>
      <c r="F444" s="23" t="str">
        <f>IFERROR(__xludf.DUMMYFUNCTION("""COMPUTED_VALUE"""),"May")</f>
        <v>May</v>
      </c>
      <c r="G444" s="23">
        <f>IFERROR(__xludf.DUMMYFUNCTION("""COMPUTED_VALUE"""),20.0)</f>
        <v>20</v>
      </c>
      <c r="H444" s="23" t="str">
        <f>IFERROR(__xludf.DUMMYFUNCTION("""COMPUTED_VALUE"""),"ABC0023")</f>
        <v>ABC0023</v>
      </c>
      <c r="I444" s="23">
        <f t="shared" si="1"/>
        <v>427</v>
      </c>
      <c r="J444" s="23">
        <f>Vlookup(B444,Product_Tab!$A$2:$C$16,3,FALSE)</f>
        <v>795</v>
      </c>
      <c r="K444" s="23">
        <f t="shared" si="2"/>
        <v>339465</v>
      </c>
      <c r="L444" s="24">
        <f>Vlookup(D444,Customer_Tab!$A$2:$C$10,3,FALSE)</f>
        <v>0.15</v>
      </c>
      <c r="M444" s="23">
        <f t="shared" si="3"/>
        <v>50919.75</v>
      </c>
      <c r="N444" s="25">
        <f t="shared" si="4"/>
        <v>288545.25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  <c r="E445" s="23">
        <f>IFERROR(__xludf.DUMMYFUNCTION("SPLIT(C445,""_"")"),351.0)</f>
        <v>351</v>
      </c>
      <c r="F445" s="23" t="str">
        <f>IFERROR(__xludf.DUMMYFUNCTION("""COMPUTED_VALUE"""),"May")</f>
        <v>May</v>
      </c>
      <c r="G445" s="23">
        <f>IFERROR(__xludf.DUMMYFUNCTION("""COMPUTED_VALUE"""),27.0)</f>
        <v>27</v>
      </c>
      <c r="H445" s="23" t="str">
        <f>IFERROR(__xludf.DUMMYFUNCTION("""COMPUTED_VALUE"""),"ABC0023")</f>
        <v>ABC0023</v>
      </c>
      <c r="I445" s="23">
        <f t="shared" si="1"/>
        <v>351</v>
      </c>
      <c r="J445" s="23">
        <f>Vlookup(B445,Product_Tab!$A$2:$C$16,3,FALSE)</f>
        <v>652</v>
      </c>
      <c r="K445" s="23">
        <f t="shared" si="2"/>
        <v>228852</v>
      </c>
      <c r="L445" s="24">
        <f>Vlookup(D445,Customer_Tab!$A$2:$C$10,3,FALSE)</f>
        <v>0.15</v>
      </c>
      <c r="M445" s="23">
        <f t="shared" si="3"/>
        <v>34327.8</v>
      </c>
      <c r="N445" s="25">
        <f t="shared" si="4"/>
        <v>194524.2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  <c r="E446" s="23">
        <f>IFERROR(__xludf.DUMMYFUNCTION("SPLIT(C446,""_"")"),493.0)</f>
        <v>493</v>
      </c>
      <c r="F446" s="23" t="str">
        <f>IFERROR(__xludf.DUMMYFUNCTION("""COMPUTED_VALUE"""),"May")</f>
        <v>May</v>
      </c>
      <c r="G446" s="23">
        <f>IFERROR(__xludf.DUMMYFUNCTION("""COMPUTED_VALUE"""),23.0)</f>
        <v>23</v>
      </c>
      <c r="H446" s="23" t="str">
        <f>IFERROR(__xludf.DUMMYFUNCTION("""COMPUTED_VALUE"""),"ABC0024")</f>
        <v>ABC0024</v>
      </c>
      <c r="I446" s="23">
        <f t="shared" si="1"/>
        <v>493</v>
      </c>
      <c r="J446" s="23">
        <f>Vlookup(B446,Product_Tab!$A$2:$C$16,3,FALSE)</f>
        <v>378</v>
      </c>
      <c r="K446" s="23">
        <f t="shared" si="2"/>
        <v>186354</v>
      </c>
      <c r="L446" s="24">
        <f>Vlookup(D446,Customer_Tab!$A$2:$C$10,3,FALSE)</f>
        <v>0.18</v>
      </c>
      <c r="M446" s="23">
        <f t="shared" si="3"/>
        <v>33543.72</v>
      </c>
      <c r="N446" s="25">
        <f t="shared" si="4"/>
        <v>152810.28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  <c r="E447" s="23">
        <f>IFERROR(__xludf.DUMMYFUNCTION("SPLIT(C447,""_"")"),365.0)</f>
        <v>365</v>
      </c>
      <c r="F447" s="23" t="str">
        <f>IFERROR(__xludf.DUMMYFUNCTION("""COMPUTED_VALUE"""),"May")</f>
        <v>May</v>
      </c>
      <c r="G447" s="23">
        <f>IFERROR(__xludf.DUMMYFUNCTION("""COMPUTED_VALUE"""),21.0)</f>
        <v>21</v>
      </c>
      <c r="H447" s="23" t="str">
        <f>IFERROR(__xludf.DUMMYFUNCTION("""COMPUTED_VALUE"""),"ABC0025")</f>
        <v>ABC0025</v>
      </c>
      <c r="I447" s="23">
        <f t="shared" si="1"/>
        <v>365</v>
      </c>
      <c r="J447" s="23">
        <f>Vlookup(B447,Product_Tab!$A$2:$C$16,3,FALSE)</f>
        <v>545</v>
      </c>
      <c r="K447" s="23">
        <f t="shared" si="2"/>
        <v>198925</v>
      </c>
      <c r="L447" s="24">
        <f>Vlookup(D447,Customer_Tab!$A$2:$C$10,3,FALSE)</f>
        <v>0.18</v>
      </c>
      <c r="M447" s="23">
        <f t="shared" si="3"/>
        <v>35806.5</v>
      </c>
      <c r="N447" s="25">
        <f t="shared" si="4"/>
        <v>163118.5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  <c r="E448" s="23">
        <f>IFERROR(__xludf.DUMMYFUNCTION("SPLIT(C448,""_"")"),243.0)</f>
        <v>243</v>
      </c>
      <c r="F448" s="23" t="str">
        <f>IFERROR(__xludf.DUMMYFUNCTION("""COMPUTED_VALUE"""),"May")</f>
        <v>May</v>
      </c>
      <c r="G448" s="23">
        <f>IFERROR(__xludf.DUMMYFUNCTION("""COMPUTED_VALUE"""),26.0)</f>
        <v>26</v>
      </c>
      <c r="H448" s="23" t="str">
        <f>IFERROR(__xludf.DUMMYFUNCTION("""COMPUTED_VALUE"""),"ABC0026")</f>
        <v>ABC0026</v>
      </c>
      <c r="I448" s="23">
        <f t="shared" si="1"/>
        <v>243</v>
      </c>
      <c r="J448" s="23">
        <f>Vlookup(B448,Product_Tab!$A$2:$C$16,3,FALSE)</f>
        <v>203</v>
      </c>
      <c r="K448" s="23">
        <f t="shared" si="2"/>
        <v>49329</v>
      </c>
      <c r="L448" s="24">
        <f>Vlookup(D448,Customer_Tab!$A$2:$C$10,3,FALSE)</f>
        <v>0.1</v>
      </c>
      <c r="M448" s="23">
        <f t="shared" si="3"/>
        <v>4932.9</v>
      </c>
      <c r="N448" s="25">
        <f t="shared" si="4"/>
        <v>44396.1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  <c r="E449" s="23">
        <f>IFERROR(__xludf.DUMMYFUNCTION("SPLIT(C449,""_"")"),383.0)</f>
        <v>383</v>
      </c>
      <c r="F449" s="23" t="str">
        <f>IFERROR(__xludf.DUMMYFUNCTION("""COMPUTED_VALUE"""),"May")</f>
        <v>May</v>
      </c>
      <c r="G449" s="23">
        <f>IFERROR(__xludf.DUMMYFUNCTION("""COMPUTED_VALUE"""),23.0)</f>
        <v>23</v>
      </c>
      <c r="H449" s="23" t="str">
        <f>IFERROR(__xludf.DUMMYFUNCTION("""COMPUTED_VALUE"""),"ABC0027")</f>
        <v>ABC0027</v>
      </c>
      <c r="I449" s="23">
        <f t="shared" si="1"/>
        <v>383</v>
      </c>
      <c r="J449" s="23">
        <f>Vlookup(B449,Product_Tab!$A$2:$C$16,3,FALSE)</f>
        <v>131</v>
      </c>
      <c r="K449" s="23">
        <f t="shared" si="2"/>
        <v>50173</v>
      </c>
      <c r="L449" s="24">
        <f>Vlookup(D449,Customer_Tab!$A$2:$C$10,3,FALSE)</f>
        <v>0.1</v>
      </c>
      <c r="M449" s="23">
        <f t="shared" si="3"/>
        <v>5017.3</v>
      </c>
      <c r="N449" s="25">
        <f t="shared" si="4"/>
        <v>45155.7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  <c r="E450" s="23">
        <f>IFERROR(__xludf.DUMMYFUNCTION("SPLIT(C450,""_"")"),305.0)</f>
        <v>305</v>
      </c>
      <c r="F450" s="23" t="str">
        <f>IFERROR(__xludf.DUMMYFUNCTION("""COMPUTED_VALUE"""),"May")</f>
        <v>May</v>
      </c>
      <c r="G450" s="23">
        <f>IFERROR(__xludf.DUMMYFUNCTION("""COMPUTED_VALUE"""),3.0)</f>
        <v>3</v>
      </c>
      <c r="H450" s="23" t="str">
        <f>IFERROR(__xludf.DUMMYFUNCTION("""COMPUTED_VALUE"""),"ABC0028")</f>
        <v>ABC0028</v>
      </c>
      <c r="I450" s="23">
        <f t="shared" si="1"/>
        <v>305</v>
      </c>
      <c r="J450" s="23">
        <f>Vlookup(B450,Product_Tab!$A$2:$C$16,3,FALSE)</f>
        <v>50</v>
      </c>
      <c r="K450" s="23">
        <f t="shared" si="2"/>
        <v>15250</v>
      </c>
      <c r="L450" s="24">
        <f>Vlookup(D450,Customer_Tab!$A$2:$C$10,3,FALSE)</f>
        <v>0.15</v>
      </c>
      <c r="M450" s="23">
        <f t="shared" si="3"/>
        <v>2287.5</v>
      </c>
      <c r="N450" s="25">
        <f t="shared" si="4"/>
        <v>12962.5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  <c r="E451" s="23">
        <f>IFERROR(__xludf.DUMMYFUNCTION("SPLIT(C451,""_"")"),494.0)</f>
        <v>494</v>
      </c>
      <c r="F451" s="23" t="str">
        <f>IFERROR(__xludf.DUMMYFUNCTION("""COMPUTED_VALUE"""),"May")</f>
        <v>May</v>
      </c>
      <c r="G451" s="23">
        <f>IFERROR(__xludf.DUMMYFUNCTION("""COMPUTED_VALUE"""),24.0)</f>
        <v>24</v>
      </c>
      <c r="H451" s="23" t="str">
        <f>IFERROR(__xludf.DUMMYFUNCTION("""COMPUTED_VALUE"""),"ABC0029")</f>
        <v>ABC0029</v>
      </c>
      <c r="I451" s="23">
        <f t="shared" si="1"/>
        <v>494</v>
      </c>
      <c r="J451" s="23">
        <f>Vlookup(B451,Product_Tab!$A$2:$C$16,3,FALSE)</f>
        <v>76</v>
      </c>
      <c r="K451" s="23">
        <f t="shared" si="2"/>
        <v>37544</v>
      </c>
      <c r="L451" s="24">
        <f>Vlookup(D451,Customer_Tab!$A$2:$C$10,3,FALSE)</f>
        <v>0.15</v>
      </c>
      <c r="M451" s="23">
        <f t="shared" si="3"/>
        <v>5631.6</v>
      </c>
      <c r="N451" s="25">
        <f t="shared" si="4"/>
        <v>31912.4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  <c r="E452" s="23">
        <f>IFERROR(__xludf.DUMMYFUNCTION("SPLIT(C452,""_"")"),288.0)</f>
        <v>288</v>
      </c>
      <c r="F452" s="23" t="str">
        <f>IFERROR(__xludf.DUMMYFUNCTION("""COMPUTED_VALUE"""),"May")</f>
        <v>May</v>
      </c>
      <c r="G452" s="23">
        <f>IFERROR(__xludf.DUMMYFUNCTION("""COMPUTED_VALUE"""),23.0)</f>
        <v>23</v>
      </c>
      <c r="H452" s="23" t="str">
        <f>IFERROR(__xludf.DUMMYFUNCTION("""COMPUTED_VALUE"""),"ABC0030")</f>
        <v>ABC0030</v>
      </c>
      <c r="I452" s="23">
        <f t="shared" si="1"/>
        <v>288</v>
      </c>
      <c r="J452" s="23">
        <f>Vlookup(B452,Product_Tab!$A$2:$C$16,3,FALSE)</f>
        <v>659</v>
      </c>
      <c r="K452" s="23">
        <f t="shared" si="2"/>
        <v>189792</v>
      </c>
      <c r="L452" s="24">
        <f>Vlookup(D452,Customer_Tab!$A$2:$C$10,3,FALSE)</f>
        <v>0.18</v>
      </c>
      <c r="M452" s="23">
        <f t="shared" si="3"/>
        <v>34162.56</v>
      </c>
      <c r="N452" s="25">
        <f t="shared" si="4"/>
        <v>155629.44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  <c r="E453" s="23">
        <f>IFERROR(__xludf.DUMMYFUNCTION("SPLIT(C453,""_"")"),325.0)</f>
        <v>325</v>
      </c>
      <c r="F453" s="23" t="str">
        <f>IFERROR(__xludf.DUMMYFUNCTION("""COMPUTED_VALUE"""),"May")</f>
        <v>May</v>
      </c>
      <c r="G453" s="23">
        <f>IFERROR(__xludf.DUMMYFUNCTION("""COMPUTED_VALUE"""),14.0)</f>
        <v>14</v>
      </c>
      <c r="H453" s="23" t="str">
        <f>IFERROR(__xludf.DUMMYFUNCTION("""COMPUTED_VALUE"""),"ABC0031")</f>
        <v>ABC0031</v>
      </c>
      <c r="I453" s="23">
        <f t="shared" si="1"/>
        <v>325</v>
      </c>
      <c r="J453" s="23">
        <f>Vlookup(B453,Product_Tab!$A$2:$C$16,3,FALSE)</f>
        <v>286</v>
      </c>
      <c r="K453" s="23">
        <f t="shared" si="2"/>
        <v>92950</v>
      </c>
      <c r="L453" s="24">
        <f>Vlookup(D453,Customer_Tab!$A$2:$C$10,3,FALSE)</f>
        <v>0.18</v>
      </c>
      <c r="M453" s="23">
        <f t="shared" si="3"/>
        <v>16731</v>
      </c>
      <c r="N453" s="25">
        <f t="shared" si="4"/>
        <v>76219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  <c r="E454" s="23">
        <f>IFERROR(__xludf.DUMMYFUNCTION("SPLIT(C454,""_"")"),418.0)</f>
        <v>418</v>
      </c>
      <c r="F454" s="23" t="str">
        <f>IFERROR(__xludf.DUMMYFUNCTION("""COMPUTED_VALUE"""),"May")</f>
        <v>May</v>
      </c>
      <c r="G454" s="23">
        <f>IFERROR(__xludf.DUMMYFUNCTION("""COMPUTED_VALUE"""),30.0)</f>
        <v>30</v>
      </c>
      <c r="H454" s="23" t="str">
        <f>IFERROR(__xludf.DUMMYFUNCTION("""COMPUTED_VALUE"""),"ABC0023")</f>
        <v>ABC0023</v>
      </c>
      <c r="I454" s="23">
        <f t="shared" si="1"/>
        <v>418</v>
      </c>
      <c r="J454" s="23">
        <f>Vlookup(B454,Product_Tab!$A$2:$C$16,3,FALSE)</f>
        <v>223</v>
      </c>
      <c r="K454" s="23">
        <f t="shared" si="2"/>
        <v>93214</v>
      </c>
      <c r="L454" s="24">
        <f>Vlookup(D454,Customer_Tab!$A$2:$C$10,3,FALSE)</f>
        <v>0.1</v>
      </c>
      <c r="M454" s="23">
        <f t="shared" si="3"/>
        <v>9321.4</v>
      </c>
      <c r="N454" s="25">
        <f t="shared" si="4"/>
        <v>83892.6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  <c r="E455" s="23">
        <f>IFERROR(__xludf.DUMMYFUNCTION("SPLIT(C455,""_"")"),230.0)</f>
        <v>230</v>
      </c>
      <c r="F455" s="23" t="str">
        <f>IFERROR(__xludf.DUMMYFUNCTION("""COMPUTED_VALUE"""),"May")</f>
        <v>May</v>
      </c>
      <c r="G455" s="23">
        <f>IFERROR(__xludf.DUMMYFUNCTION("""COMPUTED_VALUE"""),14.0)</f>
        <v>14</v>
      </c>
      <c r="H455" s="23" t="str">
        <f>IFERROR(__xludf.DUMMYFUNCTION("""COMPUTED_VALUE"""),"ABC0024")</f>
        <v>ABC0024</v>
      </c>
      <c r="I455" s="23">
        <f t="shared" si="1"/>
        <v>230</v>
      </c>
      <c r="J455" s="23">
        <f>Vlookup(B455,Product_Tab!$A$2:$C$16,3,FALSE)</f>
        <v>721</v>
      </c>
      <c r="K455" s="23">
        <f t="shared" si="2"/>
        <v>165830</v>
      </c>
      <c r="L455" s="24">
        <f>Vlookup(D455,Customer_Tab!$A$2:$C$10,3,FALSE)</f>
        <v>0.1</v>
      </c>
      <c r="M455" s="23">
        <f t="shared" si="3"/>
        <v>16583</v>
      </c>
      <c r="N455" s="25">
        <f t="shared" si="4"/>
        <v>149247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  <c r="E456" s="23">
        <f>IFERROR(__xludf.DUMMYFUNCTION("SPLIT(C456,""_"")"),261.0)</f>
        <v>261</v>
      </c>
      <c r="F456" s="23" t="str">
        <f>IFERROR(__xludf.DUMMYFUNCTION("""COMPUTED_VALUE"""),"May")</f>
        <v>May</v>
      </c>
      <c r="G456" s="23">
        <f>IFERROR(__xludf.DUMMYFUNCTION("""COMPUTED_VALUE"""),22.0)</f>
        <v>22</v>
      </c>
      <c r="H456" s="23" t="str">
        <f>IFERROR(__xludf.DUMMYFUNCTION("""COMPUTED_VALUE"""),"ABC0025")</f>
        <v>ABC0025</v>
      </c>
      <c r="I456" s="23">
        <f t="shared" si="1"/>
        <v>261</v>
      </c>
      <c r="J456" s="23">
        <f>Vlookup(B456,Product_Tab!$A$2:$C$16,3,FALSE)</f>
        <v>273</v>
      </c>
      <c r="K456" s="23">
        <f t="shared" si="2"/>
        <v>71253</v>
      </c>
      <c r="L456" s="24">
        <f>Vlookup(D456,Customer_Tab!$A$2:$C$10,3,FALSE)</f>
        <v>0.15</v>
      </c>
      <c r="M456" s="23">
        <f t="shared" si="3"/>
        <v>10687.95</v>
      </c>
      <c r="N456" s="25">
        <f t="shared" si="4"/>
        <v>60565.05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  <c r="E457" s="23">
        <f>IFERROR(__xludf.DUMMYFUNCTION("SPLIT(C457,""_"")"),365.0)</f>
        <v>365</v>
      </c>
      <c r="F457" s="23" t="str">
        <f>IFERROR(__xludf.DUMMYFUNCTION("""COMPUTED_VALUE"""),"May")</f>
        <v>May</v>
      </c>
      <c r="G457" s="23">
        <f>IFERROR(__xludf.DUMMYFUNCTION("""COMPUTED_VALUE"""),15.0)</f>
        <v>15</v>
      </c>
      <c r="H457" s="23" t="str">
        <f>IFERROR(__xludf.DUMMYFUNCTION("""COMPUTED_VALUE"""),"ABC0026")</f>
        <v>ABC0026</v>
      </c>
      <c r="I457" s="23">
        <f t="shared" si="1"/>
        <v>365</v>
      </c>
      <c r="J457" s="23">
        <f>Vlookup(B457,Product_Tab!$A$2:$C$16,3,FALSE)</f>
        <v>151</v>
      </c>
      <c r="K457" s="23">
        <f t="shared" si="2"/>
        <v>55115</v>
      </c>
      <c r="L457" s="24">
        <f>Vlookup(D457,Customer_Tab!$A$2:$C$10,3,FALSE)</f>
        <v>0.1</v>
      </c>
      <c r="M457" s="23">
        <f t="shared" si="3"/>
        <v>5511.5</v>
      </c>
      <c r="N457" s="25">
        <f t="shared" si="4"/>
        <v>49603.5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  <c r="E458" s="23">
        <f>IFERROR(__xludf.DUMMYFUNCTION("SPLIT(C458,""_"")"),451.0)</f>
        <v>451</v>
      </c>
      <c r="F458" s="23" t="str">
        <f>IFERROR(__xludf.DUMMYFUNCTION("""COMPUTED_VALUE"""),"May")</f>
        <v>May</v>
      </c>
      <c r="G458" s="23">
        <f>IFERROR(__xludf.DUMMYFUNCTION("""COMPUTED_VALUE"""),21.0)</f>
        <v>21</v>
      </c>
      <c r="H458" s="23" t="str">
        <f>IFERROR(__xludf.DUMMYFUNCTION("""COMPUTED_VALUE"""),"ABC0027")</f>
        <v>ABC0027</v>
      </c>
      <c r="I458" s="23">
        <f t="shared" si="1"/>
        <v>451</v>
      </c>
      <c r="J458" s="23">
        <f>Vlookup(B458,Product_Tab!$A$2:$C$16,3,FALSE)</f>
        <v>421</v>
      </c>
      <c r="K458" s="23">
        <f t="shared" si="2"/>
        <v>189871</v>
      </c>
      <c r="L458" s="24">
        <f>Vlookup(D458,Customer_Tab!$A$2:$C$10,3,FALSE)</f>
        <v>0.1</v>
      </c>
      <c r="M458" s="23">
        <f t="shared" si="3"/>
        <v>18987.1</v>
      </c>
      <c r="N458" s="25">
        <f t="shared" si="4"/>
        <v>170883.9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  <c r="E459" s="23">
        <f>IFERROR(__xludf.DUMMYFUNCTION("SPLIT(C459,""_"")"),329.0)</f>
        <v>329</v>
      </c>
      <c r="F459" s="23" t="str">
        <f>IFERROR(__xludf.DUMMYFUNCTION("""COMPUTED_VALUE"""),"May")</f>
        <v>May</v>
      </c>
      <c r="G459" s="23">
        <f>IFERROR(__xludf.DUMMYFUNCTION("""COMPUTED_VALUE"""),17.0)</f>
        <v>17</v>
      </c>
      <c r="H459" s="23" t="str">
        <f>IFERROR(__xludf.DUMMYFUNCTION("""COMPUTED_VALUE"""),"ABC0028")</f>
        <v>ABC0028</v>
      </c>
      <c r="I459" s="23">
        <f t="shared" si="1"/>
        <v>329</v>
      </c>
      <c r="J459" s="23">
        <f>Vlookup(B459,Product_Tab!$A$2:$C$16,3,FALSE)</f>
        <v>795</v>
      </c>
      <c r="K459" s="23">
        <f t="shared" si="2"/>
        <v>261555</v>
      </c>
      <c r="L459" s="24">
        <f>Vlookup(D459,Customer_Tab!$A$2:$C$10,3,FALSE)</f>
        <v>0.15</v>
      </c>
      <c r="M459" s="23">
        <f t="shared" si="3"/>
        <v>39233.25</v>
      </c>
      <c r="N459" s="25">
        <f t="shared" si="4"/>
        <v>222321.75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  <c r="E460" s="23">
        <f>IFERROR(__xludf.DUMMYFUNCTION("SPLIT(C460,""_"")"),411.0)</f>
        <v>411</v>
      </c>
      <c r="F460" s="23" t="str">
        <f>IFERROR(__xludf.DUMMYFUNCTION("""COMPUTED_VALUE"""),"May")</f>
        <v>May</v>
      </c>
      <c r="G460" s="23">
        <f>IFERROR(__xludf.DUMMYFUNCTION("""COMPUTED_VALUE"""),19.0)</f>
        <v>19</v>
      </c>
      <c r="H460" s="23" t="str">
        <f>IFERROR(__xludf.DUMMYFUNCTION("""COMPUTED_VALUE"""),"ABC0031")</f>
        <v>ABC0031</v>
      </c>
      <c r="I460" s="23">
        <f t="shared" si="1"/>
        <v>411</v>
      </c>
      <c r="J460" s="23">
        <f>Vlookup(B460,Product_Tab!$A$2:$C$16,3,FALSE)</f>
        <v>151</v>
      </c>
      <c r="K460" s="23">
        <f t="shared" si="2"/>
        <v>62061</v>
      </c>
      <c r="L460" s="24">
        <f>Vlookup(D460,Customer_Tab!$A$2:$C$10,3,FALSE)</f>
        <v>0.18</v>
      </c>
      <c r="M460" s="23">
        <f t="shared" si="3"/>
        <v>11170.98</v>
      </c>
      <c r="N460" s="25">
        <f t="shared" si="4"/>
        <v>50890.02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  <c r="E461" s="23">
        <f>IFERROR(__xludf.DUMMYFUNCTION("SPLIT(C461,""_"")"),405.0)</f>
        <v>405</v>
      </c>
      <c r="F461" s="23" t="str">
        <f>IFERROR(__xludf.DUMMYFUNCTION("""COMPUTED_VALUE"""),"May")</f>
        <v>May</v>
      </c>
      <c r="G461" s="23">
        <f>IFERROR(__xludf.DUMMYFUNCTION("""COMPUTED_VALUE"""),1.0)</f>
        <v>1</v>
      </c>
      <c r="H461" s="23" t="str">
        <f>IFERROR(__xludf.DUMMYFUNCTION("""COMPUTED_VALUE"""),"ABC0023")</f>
        <v>ABC0023</v>
      </c>
      <c r="I461" s="23">
        <f t="shared" si="1"/>
        <v>405</v>
      </c>
      <c r="J461" s="23">
        <f>Vlookup(B461,Product_Tab!$A$2:$C$16,3,FALSE)</f>
        <v>421</v>
      </c>
      <c r="K461" s="23">
        <f t="shared" si="2"/>
        <v>170505</v>
      </c>
      <c r="L461" s="24">
        <f>Vlookup(D461,Customer_Tab!$A$2:$C$10,3,FALSE)</f>
        <v>0.1</v>
      </c>
      <c r="M461" s="23">
        <f t="shared" si="3"/>
        <v>17050.5</v>
      </c>
      <c r="N461" s="25">
        <f t="shared" si="4"/>
        <v>153454.5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  <c r="E462" s="23">
        <f>IFERROR(__xludf.DUMMYFUNCTION("SPLIT(C462,""_"")"),490.0)</f>
        <v>490</v>
      </c>
      <c r="F462" s="23" t="str">
        <f>IFERROR(__xludf.DUMMYFUNCTION("""COMPUTED_VALUE"""),"May")</f>
        <v>May</v>
      </c>
      <c r="G462" s="23">
        <f>IFERROR(__xludf.DUMMYFUNCTION("""COMPUTED_VALUE"""),10.0)</f>
        <v>10</v>
      </c>
      <c r="H462" s="23" t="str">
        <f>IFERROR(__xludf.DUMMYFUNCTION("""COMPUTED_VALUE"""),"ABC0024")</f>
        <v>ABC0024</v>
      </c>
      <c r="I462" s="23">
        <f t="shared" si="1"/>
        <v>490</v>
      </c>
      <c r="J462" s="23">
        <f>Vlookup(B462,Product_Tab!$A$2:$C$16,3,FALSE)</f>
        <v>795</v>
      </c>
      <c r="K462" s="23">
        <f t="shared" si="2"/>
        <v>389550</v>
      </c>
      <c r="L462" s="24">
        <f>Vlookup(D462,Customer_Tab!$A$2:$C$10,3,FALSE)</f>
        <v>0.15</v>
      </c>
      <c r="M462" s="23">
        <f t="shared" si="3"/>
        <v>58432.5</v>
      </c>
      <c r="N462" s="25">
        <f t="shared" si="4"/>
        <v>331117.5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  <c r="E463" s="23">
        <f>IFERROR(__xludf.DUMMYFUNCTION("SPLIT(C463,""_"")"),221.0)</f>
        <v>221</v>
      </c>
      <c r="F463" s="23" t="str">
        <f>IFERROR(__xludf.DUMMYFUNCTION("""COMPUTED_VALUE"""),"May")</f>
        <v>May</v>
      </c>
      <c r="G463" s="23">
        <f>IFERROR(__xludf.DUMMYFUNCTION("""COMPUTED_VALUE"""),6.0)</f>
        <v>6</v>
      </c>
      <c r="H463" s="23" t="str">
        <f>IFERROR(__xludf.DUMMYFUNCTION("""COMPUTED_VALUE"""),"ABC0025")</f>
        <v>ABC0025</v>
      </c>
      <c r="I463" s="23">
        <f t="shared" si="1"/>
        <v>221</v>
      </c>
      <c r="J463" s="23">
        <f>Vlookup(B463,Product_Tab!$A$2:$C$16,3,FALSE)</f>
        <v>652</v>
      </c>
      <c r="K463" s="23">
        <f t="shared" si="2"/>
        <v>144092</v>
      </c>
      <c r="L463" s="24">
        <f>Vlookup(D463,Customer_Tab!$A$2:$C$10,3,FALSE)</f>
        <v>0.15</v>
      </c>
      <c r="M463" s="23">
        <f t="shared" si="3"/>
        <v>21613.8</v>
      </c>
      <c r="N463" s="25">
        <f t="shared" si="4"/>
        <v>122478.2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  <c r="E464" s="23">
        <f>IFERROR(__xludf.DUMMYFUNCTION("SPLIT(C464,""_"")"),247.0)</f>
        <v>247</v>
      </c>
      <c r="F464" s="23" t="str">
        <f>IFERROR(__xludf.DUMMYFUNCTION("""COMPUTED_VALUE"""),"May")</f>
        <v>May</v>
      </c>
      <c r="G464" s="23">
        <f>IFERROR(__xludf.DUMMYFUNCTION("""COMPUTED_VALUE"""),8.0)</f>
        <v>8</v>
      </c>
      <c r="H464" s="23" t="str">
        <f>IFERROR(__xludf.DUMMYFUNCTION("""COMPUTED_VALUE"""),"ABC0026")</f>
        <v>ABC0026</v>
      </c>
      <c r="I464" s="23">
        <f t="shared" si="1"/>
        <v>247</v>
      </c>
      <c r="J464" s="23">
        <f>Vlookup(B464,Product_Tab!$A$2:$C$16,3,FALSE)</f>
        <v>378</v>
      </c>
      <c r="K464" s="23">
        <f t="shared" si="2"/>
        <v>93366</v>
      </c>
      <c r="L464" s="24">
        <f>Vlookup(D464,Customer_Tab!$A$2:$C$10,3,FALSE)</f>
        <v>0.18</v>
      </c>
      <c r="M464" s="23">
        <f t="shared" si="3"/>
        <v>16805.88</v>
      </c>
      <c r="N464" s="25">
        <f t="shared" si="4"/>
        <v>76560.12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  <c r="E465" s="23">
        <f>IFERROR(__xludf.DUMMYFUNCTION("SPLIT(C465,""_"")"),373.0)</f>
        <v>373</v>
      </c>
      <c r="F465" s="23" t="str">
        <f>IFERROR(__xludf.DUMMYFUNCTION("""COMPUTED_VALUE"""),"May")</f>
        <v>May</v>
      </c>
      <c r="G465" s="23">
        <f>IFERROR(__xludf.DUMMYFUNCTION("""COMPUTED_VALUE"""),4.0)</f>
        <v>4</v>
      </c>
      <c r="H465" s="23" t="str">
        <f>IFERROR(__xludf.DUMMYFUNCTION("""COMPUTED_VALUE"""),"ABC0027")</f>
        <v>ABC0027</v>
      </c>
      <c r="I465" s="23">
        <f t="shared" si="1"/>
        <v>373</v>
      </c>
      <c r="J465" s="23">
        <f>Vlookup(B465,Product_Tab!$A$2:$C$16,3,FALSE)</f>
        <v>545</v>
      </c>
      <c r="K465" s="23">
        <f t="shared" si="2"/>
        <v>203285</v>
      </c>
      <c r="L465" s="24">
        <f>Vlookup(D465,Customer_Tab!$A$2:$C$10,3,FALSE)</f>
        <v>0.18</v>
      </c>
      <c r="M465" s="23">
        <f t="shared" si="3"/>
        <v>36591.3</v>
      </c>
      <c r="N465" s="25">
        <f t="shared" si="4"/>
        <v>166693.7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  <c r="E466" s="23">
        <f>IFERROR(__xludf.DUMMYFUNCTION("SPLIT(C466,""_"")"),392.0)</f>
        <v>392</v>
      </c>
      <c r="F466" s="23" t="str">
        <f>IFERROR(__xludf.DUMMYFUNCTION("""COMPUTED_VALUE"""),"May")</f>
        <v>May</v>
      </c>
      <c r="G466" s="23">
        <f>IFERROR(__xludf.DUMMYFUNCTION("""COMPUTED_VALUE"""),13.0)</f>
        <v>13</v>
      </c>
      <c r="H466" s="23" t="str">
        <f>IFERROR(__xludf.DUMMYFUNCTION("""COMPUTED_VALUE"""),"ABC0028")</f>
        <v>ABC0028</v>
      </c>
      <c r="I466" s="23">
        <f t="shared" si="1"/>
        <v>392</v>
      </c>
      <c r="J466" s="23">
        <f>Vlookup(B466,Product_Tab!$A$2:$C$16,3,FALSE)</f>
        <v>203</v>
      </c>
      <c r="K466" s="23">
        <f t="shared" si="2"/>
        <v>79576</v>
      </c>
      <c r="L466" s="24">
        <f>Vlookup(D466,Customer_Tab!$A$2:$C$10,3,FALSE)</f>
        <v>0.1</v>
      </c>
      <c r="M466" s="23">
        <f t="shared" si="3"/>
        <v>7957.6</v>
      </c>
      <c r="N466" s="25">
        <f t="shared" si="4"/>
        <v>71618.4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  <c r="E467" s="23">
        <f>IFERROR(__xludf.DUMMYFUNCTION("SPLIT(C467,""_"")"),239.0)</f>
        <v>239</v>
      </c>
      <c r="F467" s="23" t="str">
        <f>IFERROR(__xludf.DUMMYFUNCTION("""COMPUTED_VALUE"""),"May")</f>
        <v>May</v>
      </c>
      <c r="G467" s="23">
        <f>IFERROR(__xludf.DUMMYFUNCTION("""COMPUTED_VALUE"""),18.0)</f>
        <v>18</v>
      </c>
      <c r="H467" s="23" t="str">
        <f>IFERROR(__xludf.DUMMYFUNCTION("""COMPUTED_VALUE"""),"ABC0031")</f>
        <v>ABC0031</v>
      </c>
      <c r="I467" s="23">
        <f t="shared" si="1"/>
        <v>239</v>
      </c>
      <c r="J467" s="23">
        <f>Vlookup(B467,Product_Tab!$A$2:$C$16,3,FALSE)</f>
        <v>131</v>
      </c>
      <c r="K467" s="23">
        <f t="shared" si="2"/>
        <v>31309</v>
      </c>
      <c r="L467" s="24">
        <f>Vlookup(D467,Customer_Tab!$A$2:$C$10,3,FALSE)</f>
        <v>0.1</v>
      </c>
      <c r="M467" s="23">
        <f t="shared" si="3"/>
        <v>3130.9</v>
      </c>
      <c r="N467" s="25">
        <f t="shared" si="4"/>
        <v>28178.1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  <c r="E468" s="23">
        <f>IFERROR(__xludf.DUMMYFUNCTION("SPLIT(C468,""_"")"),215.0)</f>
        <v>215</v>
      </c>
      <c r="F468" s="23" t="str">
        <f>IFERROR(__xludf.DUMMYFUNCTION("""COMPUTED_VALUE"""),"May")</f>
        <v>May</v>
      </c>
      <c r="G468" s="23">
        <f>IFERROR(__xludf.DUMMYFUNCTION("""COMPUTED_VALUE"""),5.0)</f>
        <v>5</v>
      </c>
      <c r="H468" s="23" t="str">
        <f>IFERROR(__xludf.DUMMYFUNCTION("""COMPUTED_VALUE"""),"ABC0023")</f>
        <v>ABC0023</v>
      </c>
      <c r="I468" s="23">
        <f t="shared" si="1"/>
        <v>215</v>
      </c>
      <c r="J468" s="23">
        <f>Vlookup(B468,Product_Tab!$A$2:$C$16,3,FALSE)</f>
        <v>50</v>
      </c>
      <c r="K468" s="23">
        <f t="shared" si="2"/>
        <v>10750</v>
      </c>
      <c r="L468" s="24">
        <f>Vlookup(D468,Customer_Tab!$A$2:$C$10,3,FALSE)</f>
        <v>0.15</v>
      </c>
      <c r="M468" s="23">
        <f t="shared" si="3"/>
        <v>1612.5</v>
      </c>
      <c r="N468" s="25">
        <f t="shared" si="4"/>
        <v>9137.5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  <c r="E469" s="23">
        <f>IFERROR(__xludf.DUMMYFUNCTION("SPLIT(C469,""_"")"),465.0)</f>
        <v>465</v>
      </c>
      <c r="F469" s="23" t="str">
        <f>IFERROR(__xludf.DUMMYFUNCTION("""COMPUTED_VALUE"""),"May")</f>
        <v>May</v>
      </c>
      <c r="G469" s="23">
        <f>IFERROR(__xludf.DUMMYFUNCTION("""COMPUTED_VALUE"""),20.0)</f>
        <v>20</v>
      </c>
      <c r="H469" s="23" t="str">
        <f>IFERROR(__xludf.DUMMYFUNCTION("""COMPUTED_VALUE"""),"ABC0024")</f>
        <v>ABC0024</v>
      </c>
      <c r="I469" s="23">
        <f t="shared" si="1"/>
        <v>465</v>
      </c>
      <c r="J469" s="23">
        <f>Vlookup(B469,Product_Tab!$A$2:$C$16,3,FALSE)</f>
        <v>76</v>
      </c>
      <c r="K469" s="23">
        <f t="shared" si="2"/>
        <v>35340</v>
      </c>
      <c r="L469" s="24">
        <f>Vlookup(D469,Customer_Tab!$A$2:$C$10,3,FALSE)</f>
        <v>0.15</v>
      </c>
      <c r="M469" s="23">
        <f t="shared" si="3"/>
        <v>5301</v>
      </c>
      <c r="N469" s="25">
        <f t="shared" si="4"/>
        <v>30039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  <c r="E470" s="23">
        <f>IFERROR(__xludf.DUMMYFUNCTION("SPLIT(C470,""_"")"),264.0)</f>
        <v>264</v>
      </c>
      <c r="F470" s="23" t="str">
        <f>IFERROR(__xludf.DUMMYFUNCTION("""COMPUTED_VALUE"""),"May")</f>
        <v>May</v>
      </c>
      <c r="G470" s="23">
        <f>IFERROR(__xludf.DUMMYFUNCTION("""COMPUTED_VALUE"""),1.0)</f>
        <v>1</v>
      </c>
      <c r="H470" s="23" t="str">
        <f>IFERROR(__xludf.DUMMYFUNCTION("""COMPUTED_VALUE"""),"ABC0025")</f>
        <v>ABC0025</v>
      </c>
      <c r="I470" s="23">
        <f t="shared" si="1"/>
        <v>264</v>
      </c>
      <c r="J470" s="23">
        <f>Vlookup(B470,Product_Tab!$A$2:$C$16,3,FALSE)</f>
        <v>659</v>
      </c>
      <c r="K470" s="23">
        <f t="shared" si="2"/>
        <v>173976</v>
      </c>
      <c r="L470" s="24">
        <f>Vlookup(D470,Customer_Tab!$A$2:$C$10,3,FALSE)</f>
        <v>0.18</v>
      </c>
      <c r="M470" s="23">
        <f t="shared" si="3"/>
        <v>31315.68</v>
      </c>
      <c r="N470" s="25">
        <f t="shared" si="4"/>
        <v>142660.32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  <c r="E471" s="23">
        <f>IFERROR(__xludf.DUMMYFUNCTION("SPLIT(C471,""_"")"),243.0)</f>
        <v>243</v>
      </c>
      <c r="F471" s="23" t="str">
        <f>IFERROR(__xludf.DUMMYFUNCTION("""COMPUTED_VALUE"""),"May")</f>
        <v>May</v>
      </c>
      <c r="G471" s="23">
        <f>IFERROR(__xludf.DUMMYFUNCTION("""COMPUTED_VALUE"""),13.0)</f>
        <v>13</v>
      </c>
      <c r="H471" s="23" t="str">
        <f>IFERROR(__xludf.DUMMYFUNCTION("""COMPUTED_VALUE"""),"ABC0026")</f>
        <v>ABC0026</v>
      </c>
      <c r="I471" s="23">
        <f t="shared" si="1"/>
        <v>243</v>
      </c>
      <c r="J471" s="23">
        <f>Vlookup(B471,Product_Tab!$A$2:$C$16,3,FALSE)</f>
        <v>286</v>
      </c>
      <c r="K471" s="23">
        <f t="shared" si="2"/>
        <v>69498</v>
      </c>
      <c r="L471" s="24">
        <f>Vlookup(D471,Customer_Tab!$A$2:$C$10,3,FALSE)</f>
        <v>0.1</v>
      </c>
      <c r="M471" s="23">
        <f t="shared" si="3"/>
        <v>6949.8</v>
      </c>
      <c r="N471" s="25">
        <f t="shared" si="4"/>
        <v>62548.2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  <c r="E472" s="23">
        <f>IFERROR(__xludf.DUMMYFUNCTION("SPLIT(C472,""_"")"),308.0)</f>
        <v>308</v>
      </c>
      <c r="F472" s="23" t="str">
        <f>IFERROR(__xludf.DUMMYFUNCTION("""COMPUTED_VALUE"""),"May")</f>
        <v>May</v>
      </c>
      <c r="G472" s="23">
        <f>IFERROR(__xludf.DUMMYFUNCTION("""COMPUTED_VALUE"""),20.0)</f>
        <v>20</v>
      </c>
      <c r="H472" s="23" t="str">
        <f>IFERROR(__xludf.DUMMYFUNCTION("""COMPUTED_VALUE"""),"ABC0027")</f>
        <v>ABC0027</v>
      </c>
      <c r="I472" s="23">
        <f t="shared" si="1"/>
        <v>308</v>
      </c>
      <c r="J472" s="23">
        <f>Vlookup(B472,Product_Tab!$A$2:$C$16,3,FALSE)</f>
        <v>223</v>
      </c>
      <c r="K472" s="23">
        <f t="shared" si="2"/>
        <v>68684</v>
      </c>
      <c r="L472" s="24">
        <f>Vlookup(D472,Customer_Tab!$A$2:$C$10,3,FALSE)</f>
        <v>0.15</v>
      </c>
      <c r="M472" s="23">
        <f t="shared" si="3"/>
        <v>10302.6</v>
      </c>
      <c r="N472" s="25">
        <f t="shared" si="4"/>
        <v>58381.4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  <c r="E473" s="23">
        <f>IFERROR(__xludf.DUMMYFUNCTION("SPLIT(C473,""_"")"),399.0)</f>
        <v>399</v>
      </c>
      <c r="F473" s="23" t="str">
        <f>IFERROR(__xludf.DUMMYFUNCTION("""COMPUTED_VALUE"""),"May")</f>
        <v>May</v>
      </c>
      <c r="G473" s="23">
        <f>IFERROR(__xludf.DUMMYFUNCTION("""COMPUTED_VALUE"""),8.0)</f>
        <v>8</v>
      </c>
      <c r="H473" s="23" t="str">
        <f>IFERROR(__xludf.DUMMYFUNCTION("""COMPUTED_VALUE"""),"ABC0028")</f>
        <v>ABC0028</v>
      </c>
      <c r="I473" s="23">
        <f t="shared" si="1"/>
        <v>399</v>
      </c>
      <c r="J473" s="23">
        <f>Vlookup(B473,Product_Tab!$A$2:$C$16,3,FALSE)</f>
        <v>721</v>
      </c>
      <c r="K473" s="23">
        <f t="shared" si="2"/>
        <v>287679</v>
      </c>
      <c r="L473" s="24">
        <f>Vlookup(D473,Customer_Tab!$A$2:$C$10,3,FALSE)</f>
        <v>0.15</v>
      </c>
      <c r="M473" s="23">
        <f t="shared" si="3"/>
        <v>43151.85</v>
      </c>
      <c r="N473" s="25">
        <f t="shared" si="4"/>
        <v>244527.15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  <c r="E474" s="23">
        <f>IFERROR(__xludf.DUMMYFUNCTION("SPLIT(C474,""_"")"),362.0)</f>
        <v>362</v>
      </c>
      <c r="F474" s="23" t="str">
        <f>IFERROR(__xludf.DUMMYFUNCTION("""COMPUTED_VALUE"""),"May")</f>
        <v>May</v>
      </c>
      <c r="G474" s="23">
        <f>IFERROR(__xludf.DUMMYFUNCTION("""COMPUTED_VALUE"""),1.0)</f>
        <v>1</v>
      </c>
      <c r="H474" s="23" t="str">
        <f>IFERROR(__xludf.DUMMYFUNCTION("""COMPUTED_VALUE"""),"ABC0031")</f>
        <v>ABC0031</v>
      </c>
      <c r="I474" s="23">
        <f t="shared" si="1"/>
        <v>362</v>
      </c>
      <c r="J474" s="23">
        <f>Vlookup(B474,Product_Tab!$A$2:$C$16,3,FALSE)</f>
        <v>273</v>
      </c>
      <c r="K474" s="23">
        <f t="shared" si="2"/>
        <v>98826</v>
      </c>
      <c r="L474" s="24">
        <f>Vlookup(D474,Customer_Tab!$A$2:$C$10,3,FALSE)</f>
        <v>0.18</v>
      </c>
      <c r="M474" s="23">
        <f t="shared" si="3"/>
        <v>17788.68</v>
      </c>
      <c r="N474" s="25">
        <f t="shared" si="4"/>
        <v>81037.32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  <c r="E475" s="23">
        <f>IFERROR(__xludf.DUMMYFUNCTION("SPLIT(C475,""_"")"),376.0)</f>
        <v>376</v>
      </c>
      <c r="F475" s="23" t="str">
        <f>IFERROR(__xludf.DUMMYFUNCTION("""COMPUTED_VALUE"""),"May")</f>
        <v>May</v>
      </c>
      <c r="G475" s="23">
        <f>IFERROR(__xludf.DUMMYFUNCTION("""COMPUTED_VALUE"""),14.0)</f>
        <v>14</v>
      </c>
      <c r="H475" s="23" t="str">
        <f>IFERROR(__xludf.DUMMYFUNCTION("""COMPUTED_VALUE"""),"ABC0023")</f>
        <v>ABC0023</v>
      </c>
      <c r="I475" s="23">
        <f t="shared" si="1"/>
        <v>376</v>
      </c>
      <c r="J475" s="23">
        <f>Vlookup(B475,Product_Tab!$A$2:$C$16,3,FALSE)</f>
        <v>151</v>
      </c>
      <c r="K475" s="23">
        <f t="shared" si="2"/>
        <v>56776</v>
      </c>
      <c r="L475" s="24">
        <f>Vlookup(D475,Customer_Tab!$A$2:$C$10,3,FALSE)</f>
        <v>0.18</v>
      </c>
      <c r="M475" s="23">
        <f t="shared" si="3"/>
        <v>10219.68</v>
      </c>
      <c r="N475" s="25">
        <f t="shared" si="4"/>
        <v>46556.32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  <c r="E476" s="23">
        <f>IFERROR(__xludf.DUMMYFUNCTION("SPLIT(C476,""_"")"),374.0)</f>
        <v>374</v>
      </c>
      <c r="F476" s="23" t="str">
        <f>IFERROR(__xludf.DUMMYFUNCTION("""COMPUTED_VALUE"""),"May")</f>
        <v>May</v>
      </c>
      <c r="G476" s="23">
        <f>IFERROR(__xludf.DUMMYFUNCTION("""COMPUTED_VALUE"""),30.0)</f>
        <v>30</v>
      </c>
      <c r="H476" s="23" t="str">
        <f>IFERROR(__xludf.DUMMYFUNCTION("""COMPUTED_VALUE"""),"ABC0024")</f>
        <v>ABC0024</v>
      </c>
      <c r="I476" s="23">
        <f t="shared" si="1"/>
        <v>374</v>
      </c>
      <c r="J476" s="23">
        <f>Vlookup(B476,Product_Tab!$A$2:$C$16,3,FALSE)</f>
        <v>421</v>
      </c>
      <c r="K476" s="23">
        <f t="shared" si="2"/>
        <v>157454</v>
      </c>
      <c r="L476" s="24">
        <f>Vlookup(D476,Customer_Tab!$A$2:$C$10,3,FALSE)</f>
        <v>0.1</v>
      </c>
      <c r="M476" s="23">
        <f t="shared" si="3"/>
        <v>15745.4</v>
      </c>
      <c r="N476" s="25">
        <f t="shared" si="4"/>
        <v>141708.6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  <c r="E477" s="23">
        <f>IFERROR(__xludf.DUMMYFUNCTION("SPLIT(C477,""_"")"),218.0)</f>
        <v>218</v>
      </c>
      <c r="F477" s="23" t="str">
        <f>IFERROR(__xludf.DUMMYFUNCTION("""COMPUTED_VALUE"""),"May")</f>
        <v>May</v>
      </c>
      <c r="G477" s="23">
        <f>IFERROR(__xludf.DUMMYFUNCTION("""COMPUTED_VALUE"""),21.0)</f>
        <v>21</v>
      </c>
      <c r="H477" s="23" t="str">
        <f>IFERROR(__xludf.DUMMYFUNCTION("""COMPUTED_VALUE"""),"ABC0025")</f>
        <v>ABC0025</v>
      </c>
      <c r="I477" s="23">
        <f t="shared" si="1"/>
        <v>218</v>
      </c>
      <c r="J477" s="23">
        <f>Vlookup(B477,Product_Tab!$A$2:$C$16,3,FALSE)</f>
        <v>795</v>
      </c>
      <c r="K477" s="23">
        <f t="shared" si="2"/>
        <v>173310</v>
      </c>
      <c r="L477" s="24">
        <f>Vlookup(D477,Customer_Tab!$A$2:$C$10,3,FALSE)</f>
        <v>0.1</v>
      </c>
      <c r="M477" s="23">
        <f t="shared" si="3"/>
        <v>17331</v>
      </c>
      <c r="N477" s="25">
        <f t="shared" si="4"/>
        <v>155979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  <c r="E478" s="23">
        <f>IFERROR(__xludf.DUMMYFUNCTION("SPLIT(C478,""_"")"),335.0)</f>
        <v>335</v>
      </c>
      <c r="F478" s="23" t="str">
        <f>IFERROR(__xludf.DUMMYFUNCTION("""COMPUTED_VALUE"""),"June")</f>
        <v>June</v>
      </c>
      <c r="G478" s="23">
        <f>IFERROR(__xludf.DUMMYFUNCTION("""COMPUTED_VALUE"""),9.0)</f>
        <v>9</v>
      </c>
      <c r="H478" s="23" t="str">
        <f>IFERROR(__xludf.DUMMYFUNCTION("""COMPUTED_VALUE"""),"ABC0023")</f>
        <v>ABC0023</v>
      </c>
      <c r="I478" s="23">
        <f t="shared" si="1"/>
        <v>335</v>
      </c>
      <c r="J478" s="23">
        <f>Vlookup(B478,Product_Tab!$A$2:$C$16,3,FALSE)</f>
        <v>652</v>
      </c>
      <c r="K478" s="23">
        <f t="shared" si="2"/>
        <v>218420</v>
      </c>
      <c r="L478" s="24">
        <f>Vlookup(D478,Customer_Tab!$A$2:$C$10,3,FALSE)</f>
        <v>0.15</v>
      </c>
      <c r="M478" s="23">
        <f t="shared" si="3"/>
        <v>32763</v>
      </c>
      <c r="N478" s="25">
        <f t="shared" si="4"/>
        <v>185657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  <c r="E479" s="23">
        <f>IFERROR(__xludf.DUMMYFUNCTION("SPLIT(C479,""_"")"),331.0)</f>
        <v>331</v>
      </c>
      <c r="F479" s="23" t="str">
        <f>IFERROR(__xludf.DUMMYFUNCTION("""COMPUTED_VALUE"""),"June")</f>
        <v>June</v>
      </c>
      <c r="G479" s="23">
        <f>IFERROR(__xludf.DUMMYFUNCTION("""COMPUTED_VALUE"""),15.0)</f>
        <v>15</v>
      </c>
      <c r="H479" s="23" t="str">
        <f>IFERROR(__xludf.DUMMYFUNCTION("""COMPUTED_VALUE"""),"ABC0024")</f>
        <v>ABC0024</v>
      </c>
      <c r="I479" s="23">
        <f t="shared" si="1"/>
        <v>331</v>
      </c>
      <c r="J479" s="23">
        <f>Vlookup(B479,Product_Tab!$A$2:$C$16,3,FALSE)</f>
        <v>652</v>
      </c>
      <c r="K479" s="23">
        <f t="shared" si="2"/>
        <v>215812</v>
      </c>
      <c r="L479" s="24">
        <f>Vlookup(D479,Customer_Tab!$A$2:$C$10,3,FALSE)</f>
        <v>0.15</v>
      </c>
      <c r="M479" s="23">
        <f t="shared" si="3"/>
        <v>32371.8</v>
      </c>
      <c r="N479" s="25">
        <f t="shared" si="4"/>
        <v>183440.2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  <c r="E480" s="23">
        <f>IFERROR(__xludf.DUMMYFUNCTION("SPLIT(C480,""_"")"),490.0)</f>
        <v>490</v>
      </c>
      <c r="F480" s="23" t="str">
        <f>IFERROR(__xludf.DUMMYFUNCTION("""COMPUTED_VALUE"""),"June")</f>
        <v>June</v>
      </c>
      <c r="G480" s="23">
        <f>IFERROR(__xludf.DUMMYFUNCTION("""COMPUTED_VALUE"""),11.0)</f>
        <v>11</v>
      </c>
      <c r="H480" s="23" t="str">
        <f>IFERROR(__xludf.DUMMYFUNCTION("""COMPUTED_VALUE"""),"ABC0025")</f>
        <v>ABC0025</v>
      </c>
      <c r="I480" s="23">
        <f t="shared" si="1"/>
        <v>490</v>
      </c>
      <c r="J480" s="23">
        <f>Vlookup(B480,Product_Tab!$A$2:$C$16,3,FALSE)</f>
        <v>652</v>
      </c>
      <c r="K480" s="23">
        <f t="shared" si="2"/>
        <v>319480</v>
      </c>
      <c r="L480" s="24">
        <f>Vlookup(D480,Customer_Tab!$A$2:$C$10,3,FALSE)</f>
        <v>0.18</v>
      </c>
      <c r="M480" s="23">
        <f t="shared" si="3"/>
        <v>57506.4</v>
      </c>
      <c r="N480" s="25">
        <f t="shared" si="4"/>
        <v>261973.6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  <c r="E481" s="23">
        <f>IFERROR(__xludf.DUMMYFUNCTION("SPLIT(C481,""_"")"),316.0)</f>
        <v>316</v>
      </c>
      <c r="F481" s="23" t="str">
        <f>IFERROR(__xludf.DUMMYFUNCTION("""COMPUTED_VALUE"""),"June")</f>
        <v>June</v>
      </c>
      <c r="G481" s="23">
        <f>IFERROR(__xludf.DUMMYFUNCTION("""COMPUTED_VALUE"""),22.0)</f>
        <v>22</v>
      </c>
      <c r="H481" s="23" t="str">
        <f>IFERROR(__xludf.DUMMYFUNCTION("""COMPUTED_VALUE"""),"ABC0026")</f>
        <v>ABC0026</v>
      </c>
      <c r="I481" s="23">
        <f t="shared" si="1"/>
        <v>316</v>
      </c>
      <c r="J481" s="23">
        <f>Vlookup(B481,Product_Tab!$A$2:$C$16,3,FALSE)</f>
        <v>652</v>
      </c>
      <c r="K481" s="23">
        <f t="shared" si="2"/>
        <v>206032</v>
      </c>
      <c r="L481" s="24">
        <f>Vlookup(D481,Customer_Tab!$A$2:$C$10,3,FALSE)</f>
        <v>0.18</v>
      </c>
      <c r="M481" s="23">
        <f t="shared" si="3"/>
        <v>37085.76</v>
      </c>
      <c r="N481" s="25">
        <f t="shared" si="4"/>
        <v>168946.24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  <c r="E482" s="23">
        <f>IFERROR(__xludf.DUMMYFUNCTION("SPLIT(C482,""_"")"),348.0)</f>
        <v>348</v>
      </c>
      <c r="F482" s="23" t="str">
        <f>IFERROR(__xludf.DUMMYFUNCTION("""COMPUTED_VALUE"""),"June")</f>
        <v>June</v>
      </c>
      <c r="G482" s="23">
        <f>IFERROR(__xludf.DUMMYFUNCTION("""COMPUTED_VALUE"""),26.0)</f>
        <v>26</v>
      </c>
      <c r="H482" s="23" t="str">
        <f>IFERROR(__xludf.DUMMYFUNCTION("""COMPUTED_VALUE"""),"ABC0027")</f>
        <v>ABC0027</v>
      </c>
      <c r="I482" s="23">
        <f t="shared" si="1"/>
        <v>348</v>
      </c>
      <c r="J482" s="23">
        <f>Vlookup(B482,Product_Tab!$A$2:$C$16,3,FALSE)</f>
        <v>652</v>
      </c>
      <c r="K482" s="23">
        <f t="shared" si="2"/>
        <v>226896</v>
      </c>
      <c r="L482" s="24">
        <f>Vlookup(D482,Customer_Tab!$A$2:$C$10,3,FALSE)</f>
        <v>0.1</v>
      </c>
      <c r="M482" s="23">
        <f t="shared" si="3"/>
        <v>22689.6</v>
      </c>
      <c r="N482" s="25">
        <f t="shared" si="4"/>
        <v>204206.4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  <c r="E483" s="23">
        <f>IFERROR(__xludf.DUMMYFUNCTION("SPLIT(C483,""_"")"),484.0)</f>
        <v>484</v>
      </c>
      <c r="F483" s="23" t="str">
        <f>IFERROR(__xludf.DUMMYFUNCTION("""COMPUTED_VALUE"""),"June")</f>
        <v>June</v>
      </c>
      <c r="G483" s="23">
        <f>IFERROR(__xludf.DUMMYFUNCTION("""COMPUTED_VALUE"""),18.0)</f>
        <v>18</v>
      </c>
      <c r="H483" s="23" t="str">
        <f>IFERROR(__xludf.DUMMYFUNCTION("""COMPUTED_VALUE"""),"ABC0028")</f>
        <v>ABC0028</v>
      </c>
      <c r="I483" s="23">
        <f t="shared" si="1"/>
        <v>484</v>
      </c>
      <c r="J483" s="23">
        <f>Vlookup(B483,Product_Tab!$A$2:$C$16,3,FALSE)</f>
        <v>652</v>
      </c>
      <c r="K483" s="23">
        <f t="shared" si="2"/>
        <v>315568</v>
      </c>
      <c r="L483" s="24">
        <f>Vlookup(D483,Customer_Tab!$A$2:$C$10,3,FALSE)</f>
        <v>0.1</v>
      </c>
      <c r="M483" s="23">
        <f t="shared" si="3"/>
        <v>31556.8</v>
      </c>
      <c r="N483" s="25">
        <f t="shared" si="4"/>
        <v>284011.2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  <c r="E484" s="23">
        <f>IFERROR(__xludf.DUMMYFUNCTION("SPLIT(C484,""_"")"),383.0)</f>
        <v>383</v>
      </c>
      <c r="F484" s="23" t="str">
        <f>IFERROR(__xludf.DUMMYFUNCTION("""COMPUTED_VALUE"""),"June")</f>
        <v>June</v>
      </c>
      <c r="G484" s="23">
        <f>IFERROR(__xludf.DUMMYFUNCTION("""COMPUTED_VALUE"""),2.0)</f>
        <v>2</v>
      </c>
      <c r="H484" s="23" t="str">
        <f>IFERROR(__xludf.DUMMYFUNCTION("""COMPUTED_VALUE"""),"ABC0029")</f>
        <v>ABC0029</v>
      </c>
      <c r="I484" s="23">
        <f t="shared" si="1"/>
        <v>383</v>
      </c>
      <c r="J484" s="23">
        <f>Vlookup(B484,Product_Tab!$A$2:$C$16,3,FALSE)</f>
        <v>652</v>
      </c>
      <c r="K484" s="23">
        <f t="shared" si="2"/>
        <v>249716</v>
      </c>
      <c r="L484" s="24">
        <f>Vlookup(D484,Customer_Tab!$A$2:$C$10,3,FALSE)</f>
        <v>0.15</v>
      </c>
      <c r="M484" s="23">
        <f t="shared" si="3"/>
        <v>37457.4</v>
      </c>
      <c r="N484" s="25">
        <f t="shared" si="4"/>
        <v>212258.6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  <c r="E485" s="23">
        <f>IFERROR(__xludf.DUMMYFUNCTION("SPLIT(C485,""_"")"),420.0)</f>
        <v>420</v>
      </c>
      <c r="F485" s="23" t="str">
        <f>IFERROR(__xludf.DUMMYFUNCTION("""COMPUTED_VALUE"""),"June")</f>
        <v>June</v>
      </c>
      <c r="G485" s="23">
        <f>IFERROR(__xludf.DUMMYFUNCTION("""COMPUTED_VALUE"""),8.0)</f>
        <v>8</v>
      </c>
      <c r="H485" s="23" t="str">
        <f>IFERROR(__xludf.DUMMYFUNCTION("""COMPUTED_VALUE"""),"ABC0030")</f>
        <v>ABC0030</v>
      </c>
      <c r="I485" s="23">
        <f t="shared" si="1"/>
        <v>420</v>
      </c>
      <c r="J485" s="23">
        <f>Vlookup(B485,Product_Tab!$A$2:$C$16,3,FALSE)</f>
        <v>652</v>
      </c>
      <c r="K485" s="23">
        <f t="shared" si="2"/>
        <v>273840</v>
      </c>
      <c r="L485" s="24">
        <f>Vlookup(D485,Customer_Tab!$A$2:$C$10,3,FALSE)</f>
        <v>0.18</v>
      </c>
      <c r="M485" s="23">
        <f t="shared" si="3"/>
        <v>49291.2</v>
      </c>
      <c r="N485" s="25">
        <f t="shared" si="4"/>
        <v>224548.8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  <c r="E486" s="23">
        <f>IFERROR(__xludf.DUMMYFUNCTION("SPLIT(C486,""_"")"),226.0)</f>
        <v>226</v>
      </c>
      <c r="F486" s="23" t="str">
        <f>IFERROR(__xludf.DUMMYFUNCTION("""COMPUTED_VALUE"""),"June")</f>
        <v>June</v>
      </c>
      <c r="G486" s="23">
        <f>IFERROR(__xludf.DUMMYFUNCTION("""COMPUTED_VALUE"""),4.0)</f>
        <v>4</v>
      </c>
      <c r="H486" s="23" t="str">
        <f>IFERROR(__xludf.DUMMYFUNCTION("""COMPUTED_VALUE"""),"ABC0031")</f>
        <v>ABC0031</v>
      </c>
      <c r="I486" s="23">
        <f t="shared" si="1"/>
        <v>226</v>
      </c>
      <c r="J486" s="23">
        <f>Vlookup(B486,Product_Tab!$A$2:$C$16,3,FALSE)</f>
        <v>652</v>
      </c>
      <c r="K486" s="23">
        <f t="shared" si="2"/>
        <v>147352</v>
      </c>
      <c r="L486" s="24">
        <f>Vlookup(D486,Customer_Tab!$A$2:$C$10,3,FALSE)</f>
        <v>0.1</v>
      </c>
      <c r="M486" s="23">
        <f t="shared" si="3"/>
        <v>14735.2</v>
      </c>
      <c r="N486" s="25">
        <f t="shared" si="4"/>
        <v>132616.8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  <c r="E487" s="23">
        <f>IFERROR(__xludf.DUMMYFUNCTION("SPLIT(C487,""_"")"),339.0)</f>
        <v>339</v>
      </c>
      <c r="F487" s="23" t="str">
        <f>IFERROR(__xludf.DUMMYFUNCTION("""COMPUTED_VALUE"""),"June")</f>
        <v>June</v>
      </c>
      <c r="G487" s="23">
        <f>IFERROR(__xludf.DUMMYFUNCTION("""COMPUTED_VALUE"""),16.0)</f>
        <v>16</v>
      </c>
      <c r="H487" s="23" t="str">
        <f>IFERROR(__xludf.DUMMYFUNCTION("""COMPUTED_VALUE"""),"ABC0023")</f>
        <v>ABC0023</v>
      </c>
      <c r="I487" s="23">
        <f t="shared" si="1"/>
        <v>339</v>
      </c>
      <c r="J487" s="23">
        <f>Vlookup(B487,Product_Tab!$A$2:$C$16,3,FALSE)</f>
        <v>378</v>
      </c>
      <c r="K487" s="23">
        <f t="shared" si="2"/>
        <v>128142</v>
      </c>
      <c r="L487" s="24">
        <f>Vlookup(D487,Customer_Tab!$A$2:$C$10,3,FALSE)</f>
        <v>0.15</v>
      </c>
      <c r="M487" s="23">
        <f t="shared" si="3"/>
        <v>19221.3</v>
      </c>
      <c r="N487" s="25">
        <f t="shared" si="4"/>
        <v>108920.7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  <c r="E488" s="23">
        <f>IFERROR(__xludf.DUMMYFUNCTION("SPLIT(C488,""_"")"),322.0)</f>
        <v>322</v>
      </c>
      <c r="F488" s="23" t="str">
        <f>IFERROR(__xludf.DUMMYFUNCTION("""COMPUTED_VALUE"""),"June")</f>
        <v>June</v>
      </c>
      <c r="G488" s="23">
        <f>IFERROR(__xludf.DUMMYFUNCTION("""COMPUTED_VALUE"""),11.0)</f>
        <v>11</v>
      </c>
      <c r="H488" s="23" t="str">
        <f>IFERROR(__xludf.DUMMYFUNCTION("""COMPUTED_VALUE"""),"ABC0024")</f>
        <v>ABC0024</v>
      </c>
      <c r="I488" s="23">
        <f t="shared" si="1"/>
        <v>322</v>
      </c>
      <c r="J488" s="23">
        <f>Vlookup(B488,Product_Tab!$A$2:$C$16,3,FALSE)</f>
        <v>378</v>
      </c>
      <c r="K488" s="23">
        <f t="shared" si="2"/>
        <v>121716</v>
      </c>
      <c r="L488" s="24">
        <f>Vlookup(D488,Customer_Tab!$A$2:$C$10,3,FALSE)</f>
        <v>0.15</v>
      </c>
      <c r="M488" s="23">
        <f t="shared" si="3"/>
        <v>18257.4</v>
      </c>
      <c r="N488" s="25">
        <f t="shared" si="4"/>
        <v>103458.6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  <c r="E489" s="23">
        <f>IFERROR(__xludf.DUMMYFUNCTION("SPLIT(C489,""_"")"),342.0)</f>
        <v>342</v>
      </c>
      <c r="F489" s="23" t="str">
        <f>IFERROR(__xludf.DUMMYFUNCTION("""COMPUTED_VALUE"""),"June")</f>
        <v>June</v>
      </c>
      <c r="G489" s="23">
        <f>IFERROR(__xludf.DUMMYFUNCTION("""COMPUTED_VALUE"""),7.0)</f>
        <v>7</v>
      </c>
      <c r="H489" s="23" t="str">
        <f>IFERROR(__xludf.DUMMYFUNCTION("""COMPUTED_VALUE"""),"ABC0025")</f>
        <v>ABC0025</v>
      </c>
      <c r="I489" s="23">
        <f t="shared" si="1"/>
        <v>342</v>
      </c>
      <c r="J489" s="23">
        <f>Vlookup(B489,Product_Tab!$A$2:$C$16,3,FALSE)</f>
        <v>378</v>
      </c>
      <c r="K489" s="23">
        <f t="shared" si="2"/>
        <v>129276</v>
      </c>
      <c r="L489" s="24">
        <f>Vlookup(D489,Customer_Tab!$A$2:$C$10,3,FALSE)</f>
        <v>0.18</v>
      </c>
      <c r="M489" s="23">
        <f t="shared" si="3"/>
        <v>23269.68</v>
      </c>
      <c r="N489" s="25">
        <f t="shared" si="4"/>
        <v>106006.32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  <c r="E490" s="23">
        <f>IFERROR(__xludf.DUMMYFUNCTION("SPLIT(C490,""_"")"),231.0)</f>
        <v>231</v>
      </c>
      <c r="F490" s="23" t="str">
        <f>IFERROR(__xludf.DUMMYFUNCTION("""COMPUTED_VALUE"""),"June")</f>
        <v>June</v>
      </c>
      <c r="G490" s="23">
        <f>IFERROR(__xludf.DUMMYFUNCTION("""COMPUTED_VALUE"""),5.0)</f>
        <v>5</v>
      </c>
      <c r="H490" s="23" t="str">
        <f>IFERROR(__xludf.DUMMYFUNCTION("""COMPUTED_VALUE"""),"ABC0026")</f>
        <v>ABC0026</v>
      </c>
      <c r="I490" s="23">
        <f t="shared" si="1"/>
        <v>231</v>
      </c>
      <c r="J490" s="23">
        <f>Vlookup(B490,Product_Tab!$A$2:$C$16,3,FALSE)</f>
        <v>378</v>
      </c>
      <c r="K490" s="23">
        <f t="shared" si="2"/>
        <v>87318</v>
      </c>
      <c r="L490" s="24">
        <f>Vlookup(D490,Customer_Tab!$A$2:$C$10,3,FALSE)</f>
        <v>0.18</v>
      </c>
      <c r="M490" s="23">
        <f t="shared" si="3"/>
        <v>15717.24</v>
      </c>
      <c r="N490" s="25">
        <f t="shared" si="4"/>
        <v>71600.76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  <c r="E491" s="23">
        <f>IFERROR(__xludf.DUMMYFUNCTION("SPLIT(C491,""_"")"),431.0)</f>
        <v>431</v>
      </c>
      <c r="F491" s="23" t="str">
        <f>IFERROR(__xludf.DUMMYFUNCTION("""COMPUTED_VALUE"""),"June")</f>
        <v>June</v>
      </c>
      <c r="G491" s="23">
        <f>IFERROR(__xludf.DUMMYFUNCTION("""COMPUTED_VALUE"""),15.0)</f>
        <v>15</v>
      </c>
      <c r="H491" s="23" t="str">
        <f>IFERROR(__xludf.DUMMYFUNCTION("""COMPUTED_VALUE"""),"ABC0027")</f>
        <v>ABC0027</v>
      </c>
      <c r="I491" s="23">
        <f t="shared" si="1"/>
        <v>431</v>
      </c>
      <c r="J491" s="23">
        <f>Vlookup(B491,Product_Tab!$A$2:$C$16,3,FALSE)</f>
        <v>378</v>
      </c>
      <c r="K491" s="23">
        <f t="shared" si="2"/>
        <v>162918</v>
      </c>
      <c r="L491" s="24">
        <f>Vlookup(D491,Customer_Tab!$A$2:$C$10,3,FALSE)</f>
        <v>0.1</v>
      </c>
      <c r="M491" s="23">
        <f t="shared" si="3"/>
        <v>16291.8</v>
      </c>
      <c r="N491" s="25">
        <f t="shared" si="4"/>
        <v>146626.2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  <c r="E492" s="23">
        <f>IFERROR(__xludf.DUMMYFUNCTION("SPLIT(C492,""_"")"),310.0)</f>
        <v>310</v>
      </c>
      <c r="F492" s="23" t="str">
        <f>IFERROR(__xludf.DUMMYFUNCTION("""COMPUTED_VALUE"""),"June")</f>
        <v>June</v>
      </c>
      <c r="G492" s="23">
        <f>IFERROR(__xludf.DUMMYFUNCTION("""COMPUTED_VALUE"""),20.0)</f>
        <v>20</v>
      </c>
      <c r="H492" s="23" t="str">
        <f>IFERROR(__xludf.DUMMYFUNCTION("""COMPUTED_VALUE"""),"ABC0028")</f>
        <v>ABC0028</v>
      </c>
      <c r="I492" s="23">
        <f t="shared" si="1"/>
        <v>310</v>
      </c>
      <c r="J492" s="23">
        <f>Vlookup(B492,Product_Tab!$A$2:$C$16,3,FALSE)</f>
        <v>378</v>
      </c>
      <c r="K492" s="23">
        <f t="shared" si="2"/>
        <v>117180</v>
      </c>
      <c r="L492" s="24">
        <f>Vlookup(D492,Customer_Tab!$A$2:$C$10,3,FALSE)</f>
        <v>0.1</v>
      </c>
      <c r="M492" s="23">
        <f t="shared" si="3"/>
        <v>11718</v>
      </c>
      <c r="N492" s="25">
        <f t="shared" si="4"/>
        <v>105462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  <c r="E493" s="23">
        <f>IFERROR(__xludf.DUMMYFUNCTION("SPLIT(C493,""_"")"),338.0)</f>
        <v>338</v>
      </c>
      <c r="F493" s="23" t="str">
        <f>IFERROR(__xludf.DUMMYFUNCTION("""COMPUTED_VALUE"""),"June")</f>
        <v>June</v>
      </c>
      <c r="G493" s="23">
        <f>IFERROR(__xludf.DUMMYFUNCTION("""COMPUTED_VALUE"""),16.0)</f>
        <v>16</v>
      </c>
      <c r="H493" s="23" t="str">
        <f>IFERROR(__xludf.DUMMYFUNCTION("""COMPUTED_VALUE"""),"ABC0029")</f>
        <v>ABC0029</v>
      </c>
      <c r="I493" s="23">
        <f t="shared" si="1"/>
        <v>338</v>
      </c>
      <c r="J493" s="23">
        <f>Vlookup(B493,Product_Tab!$A$2:$C$16,3,FALSE)</f>
        <v>378</v>
      </c>
      <c r="K493" s="23">
        <f t="shared" si="2"/>
        <v>127764</v>
      </c>
      <c r="L493" s="24">
        <f>Vlookup(D493,Customer_Tab!$A$2:$C$10,3,FALSE)</f>
        <v>0.15</v>
      </c>
      <c r="M493" s="23">
        <f t="shared" si="3"/>
        <v>19164.6</v>
      </c>
      <c r="N493" s="25">
        <f t="shared" si="4"/>
        <v>108599.4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  <c r="E494" s="23">
        <f>IFERROR(__xludf.DUMMYFUNCTION("SPLIT(C494,""_"")"),431.0)</f>
        <v>431</v>
      </c>
      <c r="F494" s="23" t="str">
        <f>IFERROR(__xludf.DUMMYFUNCTION("""COMPUTED_VALUE"""),"June")</f>
        <v>June</v>
      </c>
      <c r="G494" s="23">
        <f>IFERROR(__xludf.DUMMYFUNCTION("""COMPUTED_VALUE"""),17.0)</f>
        <v>17</v>
      </c>
      <c r="H494" s="23" t="str">
        <f>IFERROR(__xludf.DUMMYFUNCTION("""COMPUTED_VALUE"""),"ABC0030")</f>
        <v>ABC0030</v>
      </c>
      <c r="I494" s="23">
        <f t="shared" si="1"/>
        <v>431</v>
      </c>
      <c r="J494" s="23">
        <f>Vlookup(B494,Product_Tab!$A$2:$C$16,3,FALSE)</f>
        <v>378</v>
      </c>
      <c r="K494" s="23">
        <f t="shared" si="2"/>
        <v>162918</v>
      </c>
      <c r="L494" s="24">
        <f>Vlookup(D494,Customer_Tab!$A$2:$C$10,3,FALSE)</f>
        <v>0.18</v>
      </c>
      <c r="M494" s="23">
        <f t="shared" si="3"/>
        <v>29325.24</v>
      </c>
      <c r="N494" s="25">
        <f t="shared" si="4"/>
        <v>133592.76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  <c r="E495" s="23">
        <f>IFERROR(__xludf.DUMMYFUNCTION("SPLIT(C495,""_"")"),474.0)</f>
        <v>474</v>
      </c>
      <c r="F495" s="23" t="str">
        <f>IFERROR(__xludf.DUMMYFUNCTION("""COMPUTED_VALUE"""),"June")</f>
        <v>June</v>
      </c>
      <c r="G495" s="23">
        <f>IFERROR(__xludf.DUMMYFUNCTION("""COMPUTED_VALUE"""),5.0)</f>
        <v>5</v>
      </c>
      <c r="H495" s="23" t="str">
        <f>IFERROR(__xludf.DUMMYFUNCTION("""COMPUTED_VALUE"""),"ABC0031")</f>
        <v>ABC0031</v>
      </c>
      <c r="I495" s="23">
        <f t="shared" si="1"/>
        <v>474</v>
      </c>
      <c r="J495" s="23">
        <f>Vlookup(B495,Product_Tab!$A$2:$C$16,3,FALSE)</f>
        <v>378</v>
      </c>
      <c r="K495" s="23">
        <f t="shared" si="2"/>
        <v>179172</v>
      </c>
      <c r="L495" s="24">
        <f>Vlookup(D495,Customer_Tab!$A$2:$C$10,3,FALSE)</f>
        <v>0.1</v>
      </c>
      <c r="M495" s="23">
        <f t="shared" si="3"/>
        <v>17917.2</v>
      </c>
      <c r="N495" s="25">
        <f t="shared" si="4"/>
        <v>161254.8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  <c r="E496" s="23">
        <f>IFERROR(__xludf.DUMMYFUNCTION("SPLIT(C496,""_"")"),285.0)</f>
        <v>285</v>
      </c>
      <c r="F496" s="23" t="str">
        <f>IFERROR(__xludf.DUMMYFUNCTION("""COMPUTED_VALUE"""),"June")</f>
        <v>June</v>
      </c>
      <c r="G496" s="23">
        <f>IFERROR(__xludf.DUMMYFUNCTION("""COMPUTED_VALUE"""),13.0)</f>
        <v>13</v>
      </c>
      <c r="H496" s="23" t="str">
        <f>IFERROR(__xludf.DUMMYFUNCTION("""COMPUTED_VALUE"""),"ABC0023")</f>
        <v>ABC0023</v>
      </c>
      <c r="I496" s="23">
        <f t="shared" si="1"/>
        <v>285</v>
      </c>
      <c r="J496" s="23">
        <f>Vlookup(B496,Product_Tab!$A$2:$C$16,3,FALSE)</f>
        <v>378</v>
      </c>
      <c r="K496" s="23">
        <f t="shared" si="2"/>
        <v>107730</v>
      </c>
      <c r="L496" s="24">
        <f>Vlookup(D496,Customer_Tab!$A$2:$C$10,3,FALSE)</f>
        <v>0.15</v>
      </c>
      <c r="M496" s="23">
        <f t="shared" si="3"/>
        <v>16159.5</v>
      </c>
      <c r="N496" s="25">
        <f t="shared" si="4"/>
        <v>91570.5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  <c r="E497" s="23">
        <f>IFERROR(__xludf.DUMMYFUNCTION("SPLIT(C497,""_"")"),450.0)</f>
        <v>450</v>
      </c>
      <c r="F497" s="23" t="str">
        <f>IFERROR(__xludf.DUMMYFUNCTION("""COMPUTED_VALUE"""),"June")</f>
        <v>June</v>
      </c>
      <c r="G497" s="23">
        <f>IFERROR(__xludf.DUMMYFUNCTION("""COMPUTED_VALUE"""),20.0)</f>
        <v>20</v>
      </c>
      <c r="H497" s="23" t="str">
        <f>IFERROR(__xludf.DUMMYFUNCTION("""COMPUTED_VALUE"""),"ABC0024")</f>
        <v>ABC0024</v>
      </c>
      <c r="I497" s="23">
        <f t="shared" si="1"/>
        <v>450</v>
      </c>
      <c r="J497" s="23">
        <f>Vlookup(B497,Product_Tab!$A$2:$C$16,3,FALSE)</f>
        <v>378</v>
      </c>
      <c r="K497" s="23">
        <f t="shared" si="2"/>
        <v>170100</v>
      </c>
      <c r="L497" s="24">
        <f>Vlookup(D497,Customer_Tab!$A$2:$C$10,3,FALSE)</f>
        <v>0.18</v>
      </c>
      <c r="M497" s="23">
        <f t="shared" si="3"/>
        <v>30618</v>
      </c>
      <c r="N497" s="25">
        <f t="shared" si="4"/>
        <v>139482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  <c r="E498" s="23">
        <f>IFERROR(__xludf.DUMMYFUNCTION("SPLIT(C498,""_"")"),256.0)</f>
        <v>256</v>
      </c>
      <c r="F498" s="23" t="str">
        <f>IFERROR(__xludf.DUMMYFUNCTION("""COMPUTED_VALUE"""),"June")</f>
        <v>June</v>
      </c>
      <c r="G498" s="23">
        <f>IFERROR(__xludf.DUMMYFUNCTION("""COMPUTED_VALUE"""),8.0)</f>
        <v>8</v>
      </c>
      <c r="H498" s="23" t="str">
        <f>IFERROR(__xludf.DUMMYFUNCTION("""COMPUTED_VALUE"""),"ABC0025")</f>
        <v>ABC0025</v>
      </c>
      <c r="I498" s="23">
        <f t="shared" si="1"/>
        <v>256</v>
      </c>
      <c r="J498" s="23">
        <f>Vlookup(B498,Product_Tab!$A$2:$C$16,3,FALSE)</f>
        <v>378</v>
      </c>
      <c r="K498" s="23">
        <f t="shared" si="2"/>
        <v>96768</v>
      </c>
      <c r="L498" s="24">
        <f>Vlookup(D498,Customer_Tab!$A$2:$C$10,3,FALSE)</f>
        <v>0.1</v>
      </c>
      <c r="M498" s="23">
        <f t="shared" si="3"/>
        <v>9676.8</v>
      </c>
      <c r="N498" s="25">
        <f t="shared" si="4"/>
        <v>87091.2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  <c r="E499" s="23">
        <f>IFERROR(__xludf.DUMMYFUNCTION("SPLIT(C499,""_"")"),438.0)</f>
        <v>438</v>
      </c>
      <c r="F499" s="23" t="str">
        <f>IFERROR(__xludf.DUMMYFUNCTION("""COMPUTED_VALUE"""),"June")</f>
        <v>June</v>
      </c>
      <c r="G499" s="23">
        <f>IFERROR(__xludf.DUMMYFUNCTION("""COMPUTED_VALUE"""),17.0)</f>
        <v>17</v>
      </c>
      <c r="H499" s="23" t="str">
        <f>IFERROR(__xludf.DUMMYFUNCTION("""COMPUTED_VALUE"""),"ABC0026")</f>
        <v>ABC0026</v>
      </c>
      <c r="I499" s="23">
        <f t="shared" si="1"/>
        <v>438</v>
      </c>
      <c r="J499" s="23">
        <f>Vlookup(B499,Product_Tab!$A$2:$C$16,3,FALSE)</f>
        <v>378</v>
      </c>
      <c r="K499" s="23">
        <f t="shared" si="2"/>
        <v>165564</v>
      </c>
      <c r="L499" s="24">
        <f>Vlookup(D499,Customer_Tab!$A$2:$C$10,3,FALSE)</f>
        <v>0.18</v>
      </c>
      <c r="M499" s="23">
        <f t="shared" si="3"/>
        <v>29801.52</v>
      </c>
      <c r="N499" s="25">
        <f t="shared" si="4"/>
        <v>135762.48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  <c r="E500" s="23">
        <f>IFERROR(__xludf.DUMMYFUNCTION("SPLIT(C500,""_"")"),385.0)</f>
        <v>385</v>
      </c>
      <c r="F500" s="23" t="str">
        <f>IFERROR(__xludf.DUMMYFUNCTION("""COMPUTED_VALUE"""),"June")</f>
        <v>June</v>
      </c>
      <c r="G500" s="23">
        <f>IFERROR(__xludf.DUMMYFUNCTION("""COMPUTED_VALUE"""),8.0)</f>
        <v>8</v>
      </c>
      <c r="H500" s="23" t="str">
        <f>IFERROR(__xludf.DUMMYFUNCTION("""COMPUTED_VALUE"""),"ABC0023")</f>
        <v>ABC0023</v>
      </c>
      <c r="I500" s="23">
        <f t="shared" si="1"/>
        <v>385</v>
      </c>
      <c r="J500" s="23">
        <f>Vlookup(B500,Product_Tab!$A$2:$C$16,3,FALSE)</f>
        <v>545</v>
      </c>
      <c r="K500" s="23">
        <f t="shared" si="2"/>
        <v>209825</v>
      </c>
      <c r="L500" s="24">
        <f>Vlookup(D500,Customer_Tab!$A$2:$C$10,3,FALSE)</f>
        <v>0.15</v>
      </c>
      <c r="M500" s="23">
        <f t="shared" si="3"/>
        <v>31473.75</v>
      </c>
      <c r="N500" s="25">
        <f t="shared" si="4"/>
        <v>178351.25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  <c r="E501" s="23">
        <f>IFERROR(__xludf.DUMMYFUNCTION("SPLIT(C501,""_"")"),483.0)</f>
        <v>483</v>
      </c>
      <c r="F501" s="23" t="str">
        <f>IFERROR(__xludf.DUMMYFUNCTION("""COMPUTED_VALUE"""),"June")</f>
        <v>June</v>
      </c>
      <c r="G501" s="23">
        <f>IFERROR(__xludf.DUMMYFUNCTION("""COMPUTED_VALUE"""),27.0)</f>
        <v>27</v>
      </c>
      <c r="H501" s="23" t="str">
        <f>IFERROR(__xludf.DUMMYFUNCTION("""COMPUTED_VALUE"""),"ABC0024")</f>
        <v>ABC0024</v>
      </c>
      <c r="I501" s="23">
        <f t="shared" si="1"/>
        <v>483</v>
      </c>
      <c r="J501" s="23">
        <f>Vlookup(B501,Product_Tab!$A$2:$C$16,3,FALSE)</f>
        <v>545</v>
      </c>
      <c r="K501" s="23">
        <f t="shared" si="2"/>
        <v>263235</v>
      </c>
      <c r="L501" s="24">
        <f>Vlookup(D501,Customer_Tab!$A$2:$C$10,3,FALSE)</f>
        <v>0.15</v>
      </c>
      <c r="M501" s="23">
        <f t="shared" si="3"/>
        <v>39485.25</v>
      </c>
      <c r="N501" s="25">
        <f t="shared" si="4"/>
        <v>223749.75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  <c r="E502" s="23">
        <f>IFERROR(__xludf.DUMMYFUNCTION("SPLIT(C502,""_"")"),313.0)</f>
        <v>313</v>
      </c>
      <c r="F502" s="23" t="str">
        <f>IFERROR(__xludf.DUMMYFUNCTION("""COMPUTED_VALUE"""),"June")</f>
        <v>June</v>
      </c>
      <c r="G502" s="23">
        <f>IFERROR(__xludf.DUMMYFUNCTION("""COMPUTED_VALUE"""),28.0)</f>
        <v>28</v>
      </c>
      <c r="H502" s="23" t="str">
        <f>IFERROR(__xludf.DUMMYFUNCTION("""COMPUTED_VALUE"""),"ABC0025")</f>
        <v>ABC0025</v>
      </c>
      <c r="I502" s="23">
        <f t="shared" si="1"/>
        <v>313</v>
      </c>
      <c r="J502" s="23">
        <f>Vlookup(B502,Product_Tab!$A$2:$C$16,3,FALSE)</f>
        <v>545</v>
      </c>
      <c r="K502" s="23">
        <f t="shared" si="2"/>
        <v>170585</v>
      </c>
      <c r="L502" s="24">
        <f>Vlookup(D502,Customer_Tab!$A$2:$C$10,3,FALSE)</f>
        <v>0.18</v>
      </c>
      <c r="M502" s="23">
        <f t="shared" si="3"/>
        <v>30705.3</v>
      </c>
      <c r="N502" s="25">
        <f t="shared" si="4"/>
        <v>139879.7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  <c r="E503" s="23">
        <f>IFERROR(__xludf.DUMMYFUNCTION("SPLIT(C503,""_"")"),399.0)</f>
        <v>399</v>
      </c>
      <c r="F503" s="23" t="str">
        <f>IFERROR(__xludf.DUMMYFUNCTION("""COMPUTED_VALUE"""),"June")</f>
        <v>June</v>
      </c>
      <c r="G503" s="23">
        <f>IFERROR(__xludf.DUMMYFUNCTION("""COMPUTED_VALUE"""),26.0)</f>
        <v>26</v>
      </c>
      <c r="H503" s="23" t="str">
        <f>IFERROR(__xludf.DUMMYFUNCTION("""COMPUTED_VALUE"""),"ABC0026")</f>
        <v>ABC0026</v>
      </c>
      <c r="I503" s="23">
        <f t="shared" si="1"/>
        <v>399</v>
      </c>
      <c r="J503" s="23">
        <f>Vlookup(B503,Product_Tab!$A$2:$C$16,3,FALSE)</f>
        <v>545</v>
      </c>
      <c r="K503" s="23">
        <f t="shared" si="2"/>
        <v>217455</v>
      </c>
      <c r="L503" s="24">
        <f>Vlookup(D503,Customer_Tab!$A$2:$C$10,3,FALSE)</f>
        <v>0.18</v>
      </c>
      <c r="M503" s="23">
        <f t="shared" si="3"/>
        <v>39141.9</v>
      </c>
      <c r="N503" s="25">
        <f t="shared" si="4"/>
        <v>178313.1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  <c r="E504" s="23">
        <f>IFERROR(__xludf.DUMMYFUNCTION("SPLIT(C504,""_"")"),280.0)</f>
        <v>280</v>
      </c>
      <c r="F504" s="23" t="str">
        <f>IFERROR(__xludf.DUMMYFUNCTION("""COMPUTED_VALUE"""),"June")</f>
        <v>June</v>
      </c>
      <c r="G504" s="23">
        <f>IFERROR(__xludf.DUMMYFUNCTION("""COMPUTED_VALUE"""),10.0)</f>
        <v>10</v>
      </c>
      <c r="H504" s="23" t="str">
        <f>IFERROR(__xludf.DUMMYFUNCTION("""COMPUTED_VALUE"""),"ABC0027")</f>
        <v>ABC0027</v>
      </c>
      <c r="I504" s="23">
        <f t="shared" si="1"/>
        <v>280</v>
      </c>
      <c r="J504" s="23">
        <f>Vlookup(B504,Product_Tab!$A$2:$C$16,3,FALSE)</f>
        <v>545</v>
      </c>
      <c r="K504" s="23">
        <f t="shared" si="2"/>
        <v>152600</v>
      </c>
      <c r="L504" s="24">
        <f>Vlookup(D504,Customer_Tab!$A$2:$C$10,3,FALSE)</f>
        <v>0.1</v>
      </c>
      <c r="M504" s="23">
        <f t="shared" si="3"/>
        <v>15260</v>
      </c>
      <c r="N504" s="25">
        <f t="shared" si="4"/>
        <v>137340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  <c r="E505" s="23">
        <f>IFERROR(__xludf.DUMMYFUNCTION("SPLIT(C505,""_"")"),291.0)</f>
        <v>291</v>
      </c>
      <c r="F505" s="23" t="str">
        <f>IFERROR(__xludf.DUMMYFUNCTION("""COMPUTED_VALUE"""),"June")</f>
        <v>June</v>
      </c>
      <c r="G505" s="23">
        <f>IFERROR(__xludf.DUMMYFUNCTION("""COMPUTED_VALUE"""),28.0)</f>
        <v>28</v>
      </c>
      <c r="H505" s="23" t="str">
        <f>IFERROR(__xludf.DUMMYFUNCTION("""COMPUTED_VALUE"""),"ABC0028")</f>
        <v>ABC0028</v>
      </c>
      <c r="I505" s="23">
        <f t="shared" si="1"/>
        <v>291</v>
      </c>
      <c r="J505" s="23">
        <f>Vlookup(B505,Product_Tab!$A$2:$C$16,3,FALSE)</f>
        <v>545</v>
      </c>
      <c r="K505" s="23">
        <f t="shared" si="2"/>
        <v>158595</v>
      </c>
      <c r="L505" s="24">
        <f>Vlookup(D505,Customer_Tab!$A$2:$C$10,3,FALSE)</f>
        <v>0.1</v>
      </c>
      <c r="M505" s="23">
        <f t="shared" si="3"/>
        <v>15859.5</v>
      </c>
      <c r="N505" s="25">
        <f t="shared" si="4"/>
        <v>142735.5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  <c r="E506" s="23">
        <f>IFERROR(__xludf.DUMMYFUNCTION("SPLIT(C506,""_"")"),310.0)</f>
        <v>310</v>
      </c>
      <c r="F506" s="23" t="str">
        <f>IFERROR(__xludf.DUMMYFUNCTION("""COMPUTED_VALUE"""),"June")</f>
        <v>June</v>
      </c>
      <c r="G506" s="23">
        <f>IFERROR(__xludf.DUMMYFUNCTION("""COMPUTED_VALUE"""),30.0)</f>
        <v>30</v>
      </c>
      <c r="H506" s="23" t="str">
        <f>IFERROR(__xludf.DUMMYFUNCTION("""COMPUTED_VALUE"""),"ABC0029")</f>
        <v>ABC0029</v>
      </c>
      <c r="I506" s="23">
        <f t="shared" si="1"/>
        <v>310</v>
      </c>
      <c r="J506" s="23">
        <f>Vlookup(B506,Product_Tab!$A$2:$C$16,3,FALSE)</f>
        <v>545</v>
      </c>
      <c r="K506" s="23">
        <f t="shared" si="2"/>
        <v>168950</v>
      </c>
      <c r="L506" s="24">
        <f>Vlookup(D506,Customer_Tab!$A$2:$C$10,3,FALSE)</f>
        <v>0.15</v>
      </c>
      <c r="M506" s="23">
        <f t="shared" si="3"/>
        <v>25342.5</v>
      </c>
      <c r="N506" s="25">
        <f t="shared" si="4"/>
        <v>143607.5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  <c r="E507" s="23">
        <f>IFERROR(__xludf.DUMMYFUNCTION("SPLIT(C507,""_"")"),247.0)</f>
        <v>247</v>
      </c>
      <c r="F507" s="23" t="str">
        <f>IFERROR(__xludf.DUMMYFUNCTION("""COMPUTED_VALUE"""),"June")</f>
        <v>June</v>
      </c>
      <c r="G507" s="23">
        <f>IFERROR(__xludf.DUMMYFUNCTION("""COMPUTED_VALUE"""),24.0)</f>
        <v>24</v>
      </c>
      <c r="H507" s="23" t="str">
        <f>IFERROR(__xludf.DUMMYFUNCTION("""COMPUTED_VALUE"""),"ABC0030")</f>
        <v>ABC0030</v>
      </c>
      <c r="I507" s="23">
        <f t="shared" si="1"/>
        <v>247</v>
      </c>
      <c r="J507" s="23">
        <f>Vlookup(B507,Product_Tab!$A$2:$C$16,3,FALSE)</f>
        <v>545</v>
      </c>
      <c r="K507" s="23">
        <f t="shared" si="2"/>
        <v>134615</v>
      </c>
      <c r="L507" s="24">
        <f>Vlookup(D507,Customer_Tab!$A$2:$C$10,3,FALSE)</f>
        <v>0.18</v>
      </c>
      <c r="M507" s="23">
        <f t="shared" si="3"/>
        <v>24230.7</v>
      </c>
      <c r="N507" s="25">
        <f t="shared" si="4"/>
        <v>110384.3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  <c r="E508" s="23">
        <f>IFERROR(__xludf.DUMMYFUNCTION("SPLIT(C508,""_"")"),240.0)</f>
        <v>240</v>
      </c>
      <c r="F508" s="23" t="str">
        <f>IFERROR(__xludf.DUMMYFUNCTION("""COMPUTED_VALUE"""),"June")</f>
        <v>June</v>
      </c>
      <c r="G508" s="23">
        <f>IFERROR(__xludf.DUMMYFUNCTION("""COMPUTED_VALUE"""),10.0)</f>
        <v>10</v>
      </c>
      <c r="H508" s="23" t="str">
        <f>IFERROR(__xludf.DUMMYFUNCTION("""COMPUTED_VALUE"""),"ABC0031")</f>
        <v>ABC0031</v>
      </c>
      <c r="I508" s="23">
        <f t="shared" si="1"/>
        <v>240</v>
      </c>
      <c r="J508" s="23">
        <f>Vlookup(B508,Product_Tab!$A$2:$C$16,3,FALSE)</f>
        <v>545</v>
      </c>
      <c r="K508" s="23">
        <f t="shared" si="2"/>
        <v>130800</v>
      </c>
      <c r="L508" s="24">
        <f>Vlookup(D508,Customer_Tab!$A$2:$C$10,3,FALSE)</f>
        <v>0.1</v>
      </c>
      <c r="M508" s="23">
        <f t="shared" si="3"/>
        <v>13080</v>
      </c>
      <c r="N508" s="25">
        <f t="shared" si="4"/>
        <v>117720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  <c r="E509" s="23">
        <f>IFERROR(__xludf.DUMMYFUNCTION("SPLIT(C509,""_"")"),450.0)</f>
        <v>450</v>
      </c>
      <c r="F509" s="23" t="str">
        <f>IFERROR(__xludf.DUMMYFUNCTION("""COMPUTED_VALUE"""),"June")</f>
        <v>June</v>
      </c>
      <c r="G509" s="23">
        <f>IFERROR(__xludf.DUMMYFUNCTION("""COMPUTED_VALUE"""),2.0)</f>
        <v>2</v>
      </c>
      <c r="H509" s="23" t="str">
        <f>IFERROR(__xludf.DUMMYFUNCTION("""COMPUTED_VALUE"""),"ABC0029")</f>
        <v>ABC0029</v>
      </c>
      <c r="I509" s="23">
        <f t="shared" si="1"/>
        <v>450</v>
      </c>
      <c r="J509" s="23">
        <f>Vlookup(B509,Product_Tab!$A$2:$C$16,3,FALSE)</f>
        <v>545</v>
      </c>
      <c r="K509" s="23">
        <f t="shared" si="2"/>
        <v>245250</v>
      </c>
      <c r="L509" s="24">
        <f>Vlookup(D509,Customer_Tab!$A$2:$C$10,3,FALSE)</f>
        <v>0.15</v>
      </c>
      <c r="M509" s="23">
        <f t="shared" si="3"/>
        <v>36787.5</v>
      </c>
      <c r="N509" s="25">
        <f t="shared" si="4"/>
        <v>208462.5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  <c r="E510" s="23">
        <f>IFERROR(__xludf.DUMMYFUNCTION("SPLIT(C510,""_"")"),305.0)</f>
        <v>305</v>
      </c>
      <c r="F510" s="23" t="str">
        <f>IFERROR(__xludf.DUMMYFUNCTION("""COMPUTED_VALUE"""),"June")</f>
        <v>June</v>
      </c>
      <c r="G510" s="23">
        <f>IFERROR(__xludf.DUMMYFUNCTION("""COMPUTED_VALUE"""),8.0)</f>
        <v>8</v>
      </c>
      <c r="H510" s="23" t="str">
        <f>IFERROR(__xludf.DUMMYFUNCTION("""COMPUTED_VALUE"""),"ABC0030")</f>
        <v>ABC0030</v>
      </c>
      <c r="I510" s="23">
        <f t="shared" si="1"/>
        <v>305</v>
      </c>
      <c r="J510" s="23">
        <f>Vlookup(B510,Product_Tab!$A$2:$C$16,3,FALSE)</f>
        <v>545</v>
      </c>
      <c r="K510" s="23">
        <f t="shared" si="2"/>
        <v>166225</v>
      </c>
      <c r="L510" s="24">
        <f>Vlookup(D510,Customer_Tab!$A$2:$C$10,3,FALSE)</f>
        <v>0.15</v>
      </c>
      <c r="M510" s="23">
        <f t="shared" si="3"/>
        <v>24933.75</v>
      </c>
      <c r="N510" s="25">
        <f t="shared" si="4"/>
        <v>141291.25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  <c r="E511" s="23">
        <f>IFERROR(__xludf.DUMMYFUNCTION("SPLIT(C511,""_"")"),264.0)</f>
        <v>264</v>
      </c>
      <c r="F511" s="23" t="str">
        <f>IFERROR(__xludf.DUMMYFUNCTION("""COMPUTED_VALUE"""),"June")</f>
        <v>June</v>
      </c>
      <c r="G511" s="23">
        <f>IFERROR(__xludf.DUMMYFUNCTION("""COMPUTED_VALUE"""),11.0)</f>
        <v>11</v>
      </c>
      <c r="H511" s="23" t="str">
        <f>IFERROR(__xludf.DUMMYFUNCTION("""COMPUTED_VALUE"""),"ABC0031")</f>
        <v>ABC0031</v>
      </c>
      <c r="I511" s="23">
        <f t="shared" si="1"/>
        <v>264</v>
      </c>
      <c r="J511" s="23">
        <f>Vlookup(B511,Product_Tab!$A$2:$C$16,3,FALSE)</f>
        <v>545</v>
      </c>
      <c r="K511" s="23">
        <f t="shared" si="2"/>
        <v>143880</v>
      </c>
      <c r="L511" s="24">
        <f>Vlookup(D511,Customer_Tab!$A$2:$C$10,3,FALSE)</f>
        <v>0.18</v>
      </c>
      <c r="M511" s="23">
        <f t="shared" si="3"/>
        <v>25898.4</v>
      </c>
      <c r="N511" s="25">
        <f t="shared" si="4"/>
        <v>117981.6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  <c r="E512" s="23">
        <f>IFERROR(__xludf.DUMMYFUNCTION("SPLIT(C512,""_"")"),484.0)</f>
        <v>484</v>
      </c>
      <c r="F512" s="23" t="str">
        <f>IFERROR(__xludf.DUMMYFUNCTION("""COMPUTED_VALUE"""),"June")</f>
        <v>June</v>
      </c>
      <c r="G512" s="23">
        <f>IFERROR(__xludf.DUMMYFUNCTION("""COMPUTED_VALUE"""),27.0)</f>
        <v>27</v>
      </c>
      <c r="H512" s="23" t="str">
        <f>IFERROR(__xludf.DUMMYFUNCTION("""COMPUTED_VALUE"""),"ABC0027")</f>
        <v>ABC0027</v>
      </c>
      <c r="I512" s="23">
        <f t="shared" si="1"/>
        <v>484</v>
      </c>
      <c r="J512" s="23">
        <f>Vlookup(B512,Product_Tab!$A$2:$C$16,3,FALSE)</f>
        <v>545</v>
      </c>
      <c r="K512" s="23">
        <f t="shared" si="2"/>
        <v>263780</v>
      </c>
      <c r="L512" s="24">
        <f>Vlookup(D512,Customer_Tab!$A$2:$C$10,3,FALSE)</f>
        <v>0.18</v>
      </c>
      <c r="M512" s="23">
        <f t="shared" si="3"/>
        <v>47480.4</v>
      </c>
      <c r="N512" s="25">
        <f t="shared" si="4"/>
        <v>216299.6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  <c r="E513" s="23">
        <f>IFERROR(__xludf.DUMMYFUNCTION("SPLIT(C513,""_"")"),440.0)</f>
        <v>440</v>
      </c>
      <c r="F513" s="23" t="str">
        <f>IFERROR(__xludf.DUMMYFUNCTION("""COMPUTED_VALUE"""),"June")</f>
        <v>June</v>
      </c>
      <c r="G513" s="23">
        <f>IFERROR(__xludf.DUMMYFUNCTION("""COMPUTED_VALUE"""),27.0)</f>
        <v>27</v>
      </c>
      <c r="H513" s="23" t="str">
        <f>IFERROR(__xludf.DUMMYFUNCTION("""COMPUTED_VALUE"""),"ABC0026")</f>
        <v>ABC0026</v>
      </c>
      <c r="I513" s="23">
        <f t="shared" si="1"/>
        <v>440</v>
      </c>
      <c r="J513" s="23">
        <f>Vlookup(B513,Product_Tab!$A$2:$C$16,3,FALSE)</f>
        <v>545</v>
      </c>
      <c r="K513" s="23">
        <f t="shared" si="2"/>
        <v>239800</v>
      </c>
      <c r="L513" s="24">
        <f>Vlookup(D513,Customer_Tab!$A$2:$C$10,3,FALSE)</f>
        <v>0.1</v>
      </c>
      <c r="M513" s="23">
        <f t="shared" si="3"/>
        <v>23980</v>
      </c>
      <c r="N513" s="25">
        <f t="shared" si="4"/>
        <v>215820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  <c r="E514" s="23">
        <f>IFERROR(__xludf.DUMMYFUNCTION("SPLIT(C514,""_"")"),226.0)</f>
        <v>226</v>
      </c>
      <c r="F514" s="23" t="str">
        <f>IFERROR(__xludf.DUMMYFUNCTION("""COMPUTED_VALUE"""),"June")</f>
        <v>June</v>
      </c>
      <c r="G514" s="23">
        <f>IFERROR(__xludf.DUMMYFUNCTION("""COMPUTED_VALUE"""),9.0)</f>
        <v>9</v>
      </c>
      <c r="H514" s="23" t="str">
        <f>IFERROR(__xludf.DUMMYFUNCTION("""COMPUTED_VALUE"""),"ABC0023")</f>
        <v>ABC0023</v>
      </c>
      <c r="I514" s="23">
        <f t="shared" si="1"/>
        <v>226</v>
      </c>
      <c r="J514" s="23">
        <f>Vlookup(B514,Product_Tab!$A$2:$C$16,3,FALSE)</f>
        <v>545</v>
      </c>
      <c r="K514" s="23">
        <f t="shared" si="2"/>
        <v>123170</v>
      </c>
      <c r="L514" s="24">
        <f>Vlookup(D514,Customer_Tab!$A$2:$C$10,3,FALSE)</f>
        <v>0.15</v>
      </c>
      <c r="M514" s="23">
        <f t="shared" si="3"/>
        <v>18475.5</v>
      </c>
      <c r="N514" s="25">
        <f t="shared" si="4"/>
        <v>104694.5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  <c r="E515" s="23">
        <f>IFERROR(__xludf.DUMMYFUNCTION("SPLIT(C515,""_"")"),201.0)</f>
        <v>201</v>
      </c>
      <c r="F515" s="23" t="str">
        <f>IFERROR(__xludf.DUMMYFUNCTION("""COMPUTED_VALUE"""),"June")</f>
        <v>June</v>
      </c>
      <c r="G515" s="23">
        <f>IFERROR(__xludf.DUMMYFUNCTION("""COMPUTED_VALUE"""),26.0)</f>
        <v>26</v>
      </c>
      <c r="H515" s="23" t="str">
        <f>IFERROR(__xludf.DUMMYFUNCTION("""COMPUTED_VALUE"""),"ABC0023")</f>
        <v>ABC0023</v>
      </c>
      <c r="I515" s="23">
        <f t="shared" si="1"/>
        <v>201</v>
      </c>
      <c r="J515" s="23">
        <f>Vlookup(B515,Product_Tab!$A$2:$C$16,3,FALSE)</f>
        <v>203</v>
      </c>
      <c r="K515" s="23">
        <f t="shared" si="2"/>
        <v>40803</v>
      </c>
      <c r="L515" s="24">
        <f>Vlookup(D515,Customer_Tab!$A$2:$C$10,3,FALSE)</f>
        <v>0.15</v>
      </c>
      <c r="M515" s="23">
        <f t="shared" si="3"/>
        <v>6120.45</v>
      </c>
      <c r="N515" s="25">
        <f t="shared" si="4"/>
        <v>34682.55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  <c r="E516" s="23">
        <f>IFERROR(__xludf.DUMMYFUNCTION("SPLIT(C516,""_"")"),230.0)</f>
        <v>230</v>
      </c>
      <c r="F516" s="23" t="str">
        <f>IFERROR(__xludf.DUMMYFUNCTION("""COMPUTED_VALUE"""),"June")</f>
        <v>June</v>
      </c>
      <c r="G516" s="23">
        <f>IFERROR(__xludf.DUMMYFUNCTION("""COMPUTED_VALUE"""),10.0)</f>
        <v>10</v>
      </c>
      <c r="H516" s="23" t="str">
        <f>IFERROR(__xludf.DUMMYFUNCTION("""COMPUTED_VALUE"""),"ABC0023")</f>
        <v>ABC0023</v>
      </c>
      <c r="I516" s="23">
        <f t="shared" si="1"/>
        <v>230</v>
      </c>
      <c r="J516" s="23">
        <f>Vlookup(B516,Product_Tab!$A$2:$C$16,3,FALSE)</f>
        <v>131</v>
      </c>
      <c r="K516" s="23">
        <f t="shared" si="2"/>
        <v>30130</v>
      </c>
      <c r="L516" s="24">
        <f>Vlookup(D516,Customer_Tab!$A$2:$C$10,3,FALSE)</f>
        <v>0.18</v>
      </c>
      <c r="M516" s="23">
        <f t="shared" si="3"/>
        <v>5423.4</v>
      </c>
      <c r="N516" s="25">
        <f t="shared" si="4"/>
        <v>24706.6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  <c r="E517" s="23">
        <f>IFERROR(__xludf.DUMMYFUNCTION("SPLIT(C517,""_"")"),403.0)</f>
        <v>403</v>
      </c>
      <c r="F517" s="23" t="str">
        <f>IFERROR(__xludf.DUMMYFUNCTION("""COMPUTED_VALUE"""),"June")</f>
        <v>June</v>
      </c>
      <c r="G517" s="23">
        <f>IFERROR(__xludf.DUMMYFUNCTION("""COMPUTED_VALUE"""),19.0)</f>
        <v>19</v>
      </c>
      <c r="H517" s="23" t="str">
        <f>IFERROR(__xludf.DUMMYFUNCTION("""COMPUTED_VALUE"""),"ABC0023")</f>
        <v>ABC0023</v>
      </c>
      <c r="I517" s="23">
        <f t="shared" si="1"/>
        <v>403</v>
      </c>
      <c r="J517" s="23">
        <f>Vlookup(B517,Product_Tab!$A$2:$C$16,3,FALSE)</f>
        <v>50</v>
      </c>
      <c r="K517" s="23">
        <f t="shared" si="2"/>
        <v>20150</v>
      </c>
      <c r="L517" s="24">
        <f>Vlookup(D517,Customer_Tab!$A$2:$C$10,3,FALSE)</f>
        <v>0.18</v>
      </c>
      <c r="M517" s="23">
        <f t="shared" si="3"/>
        <v>3627</v>
      </c>
      <c r="N517" s="25">
        <f t="shared" si="4"/>
        <v>16523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  <c r="E518" s="23">
        <f>IFERROR(__xludf.DUMMYFUNCTION("SPLIT(C518,""_"")"),235.0)</f>
        <v>235</v>
      </c>
      <c r="F518" s="23" t="str">
        <f>IFERROR(__xludf.DUMMYFUNCTION("""COMPUTED_VALUE"""),"June")</f>
        <v>June</v>
      </c>
      <c r="G518" s="23">
        <f>IFERROR(__xludf.DUMMYFUNCTION("""COMPUTED_VALUE"""),22.0)</f>
        <v>22</v>
      </c>
      <c r="H518" s="23" t="str">
        <f>IFERROR(__xludf.DUMMYFUNCTION("""COMPUTED_VALUE"""),"ABC0023")</f>
        <v>ABC0023</v>
      </c>
      <c r="I518" s="23">
        <f t="shared" si="1"/>
        <v>235</v>
      </c>
      <c r="J518" s="23">
        <f>Vlookup(B518,Product_Tab!$A$2:$C$16,3,FALSE)</f>
        <v>76</v>
      </c>
      <c r="K518" s="23">
        <f t="shared" si="2"/>
        <v>17860</v>
      </c>
      <c r="L518" s="24">
        <f>Vlookup(D518,Customer_Tab!$A$2:$C$10,3,FALSE)</f>
        <v>0.1</v>
      </c>
      <c r="M518" s="23">
        <f t="shared" si="3"/>
        <v>1786</v>
      </c>
      <c r="N518" s="25">
        <f t="shared" si="4"/>
        <v>16074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  <c r="E519" s="23">
        <f>IFERROR(__xludf.DUMMYFUNCTION("SPLIT(C519,""_"")"),223.0)</f>
        <v>223</v>
      </c>
      <c r="F519" s="23" t="str">
        <f>IFERROR(__xludf.DUMMYFUNCTION("""COMPUTED_VALUE"""),"June")</f>
        <v>June</v>
      </c>
      <c r="G519" s="23">
        <f>IFERROR(__xludf.DUMMYFUNCTION("""COMPUTED_VALUE"""),4.0)</f>
        <v>4</v>
      </c>
      <c r="H519" s="23" t="str">
        <f>IFERROR(__xludf.DUMMYFUNCTION("""COMPUTED_VALUE"""),"ABC0023")</f>
        <v>ABC0023</v>
      </c>
      <c r="I519" s="23">
        <f t="shared" si="1"/>
        <v>223</v>
      </c>
      <c r="J519" s="23">
        <f>Vlookup(B519,Product_Tab!$A$2:$C$16,3,FALSE)</f>
        <v>659</v>
      </c>
      <c r="K519" s="23">
        <f t="shared" si="2"/>
        <v>146957</v>
      </c>
      <c r="L519" s="24">
        <f>Vlookup(D519,Customer_Tab!$A$2:$C$10,3,FALSE)</f>
        <v>0.1</v>
      </c>
      <c r="M519" s="23">
        <f t="shared" si="3"/>
        <v>14695.7</v>
      </c>
      <c r="N519" s="25">
        <f t="shared" si="4"/>
        <v>132261.3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  <c r="E520" s="23">
        <f>IFERROR(__xludf.DUMMYFUNCTION("SPLIT(C520,""_"")"),438.0)</f>
        <v>438</v>
      </c>
      <c r="F520" s="23" t="str">
        <f>IFERROR(__xludf.DUMMYFUNCTION("""COMPUTED_VALUE"""),"June")</f>
        <v>June</v>
      </c>
      <c r="G520" s="23">
        <f>IFERROR(__xludf.DUMMYFUNCTION("""COMPUTED_VALUE"""),5.0)</f>
        <v>5</v>
      </c>
      <c r="H520" s="23" t="str">
        <f>IFERROR(__xludf.DUMMYFUNCTION("""COMPUTED_VALUE"""),"ABC0023")</f>
        <v>ABC0023</v>
      </c>
      <c r="I520" s="23">
        <f t="shared" si="1"/>
        <v>438</v>
      </c>
      <c r="J520" s="23">
        <f>Vlookup(B520,Product_Tab!$A$2:$C$16,3,FALSE)</f>
        <v>286</v>
      </c>
      <c r="K520" s="23">
        <f t="shared" si="2"/>
        <v>125268</v>
      </c>
      <c r="L520" s="24">
        <f>Vlookup(D520,Customer_Tab!$A$2:$C$10,3,FALSE)</f>
        <v>0.15</v>
      </c>
      <c r="M520" s="23">
        <f t="shared" si="3"/>
        <v>18790.2</v>
      </c>
      <c r="N520" s="25">
        <f t="shared" si="4"/>
        <v>106477.8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  <c r="E521" s="23">
        <f>IFERROR(__xludf.DUMMYFUNCTION("SPLIT(C521,""_"")"),352.0)</f>
        <v>352</v>
      </c>
      <c r="F521" s="23" t="str">
        <f>IFERROR(__xludf.DUMMYFUNCTION("""COMPUTED_VALUE"""),"June")</f>
        <v>June</v>
      </c>
      <c r="G521" s="23">
        <f>IFERROR(__xludf.DUMMYFUNCTION("""COMPUTED_VALUE"""),17.0)</f>
        <v>17</v>
      </c>
      <c r="H521" s="23" t="str">
        <f>IFERROR(__xludf.DUMMYFUNCTION("""COMPUTED_VALUE"""),"ABC0023")</f>
        <v>ABC0023</v>
      </c>
      <c r="I521" s="23">
        <f t="shared" si="1"/>
        <v>352</v>
      </c>
      <c r="J521" s="23">
        <f>Vlookup(B521,Product_Tab!$A$2:$C$16,3,FALSE)</f>
        <v>223</v>
      </c>
      <c r="K521" s="23">
        <f t="shared" si="2"/>
        <v>78496</v>
      </c>
      <c r="L521" s="24">
        <f>Vlookup(D521,Customer_Tab!$A$2:$C$10,3,FALSE)</f>
        <v>0.18</v>
      </c>
      <c r="M521" s="23">
        <f t="shared" si="3"/>
        <v>14129.28</v>
      </c>
      <c r="N521" s="25">
        <f t="shared" si="4"/>
        <v>64366.72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  <c r="E522" s="23">
        <f>IFERROR(__xludf.DUMMYFUNCTION("SPLIT(C522,""_"")"),307.0)</f>
        <v>307</v>
      </c>
      <c r="F522" s="23" t="str">
        <f>IFERROR(__xludf.DUMMYFUNCTION("""COMPUTED_VALUE"""),"June")</f>
        <v>June</v>
      </c>
      <c r="G522" s="23">
        <f>IFERROR(__xludf.DUMMYFUNCTION("""COMPUTED_VALUE"""),14.0)</f>
        <v>14</v>
      </c>
      <c r="H522" s="23" t="str">
        <f>IFERROR(__xludf.DUMMYFUNCTION("""COMPUTED_VALUE"""),"ABC0023")</f>
        <v>ABC0023</v>
      </c>
      <c r="I522" s="23">
        <f t="shared" si="1"/>
        <v>307</v>
      </c>
      <c r="J522" s="23">
        <f>Vlookup(B522,Product_Tab!$A$2:$C$16,3,FALSE)</f>
        <v>721</v>
      </c>
      <c r="K522" s="23">
        <f t="shared" si="2"/>
        <v>221347</v>
      </c>
      <c r="L522" s="24">
        <f>Vlookup(D522,Customer_Tab!$A$2:$C$10,3,FALSE)</f>
        <v>0.1</v>
      </c>
      <c r="M522" s="23">
        <f t="shared" si="3"/>
        <v>22134.7</v>
      </c>
      <c r="N522" s="25">
        <f t="shared" si="4"/>
        <v>199212.3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  <c r="E523" s="23">
        <f>IFERROR(__xludf.DUMMYFUNCTION("SPLIT(C523,""_"")"),464.0)</f>
        <v>464</v>
      </c>
      <c r="F523" s="23" t="str">
        <f>IFERROR(__xludf.DUMMYFUNCTION("""COMPUTED_VALUE"""),"June")</f>
        <v>June</v>
      </c>
      <c r="G523" s="23">
        <f>IFERROR(__xludf.DUMMYFUNCTION("""COMPUTED_VALUE"""),20.0)</f>
        <v>20</v>
      </c>
      <c r="H523" s="23" t="str">
        <f>IFERROR(__xludf.DUMMYFUNCTION("""COMPUTED_VALUE"""),"ABC0023")</f>
        <v>ABC0023</v>
      </c>
      <c r="I523" s="23">
        <f t="shared" si="1"/>
        <v>464</v>
      </c>
      <c r="J523" s="23">
        <f>Vlookup(B523,Product_Tab!$A$2:$C$16,3,FALSE)</f>
        <v>273</v>
      </c>
      <c r="K523" s="23">
        <f t="shared" si="2"/>
        <v>126672</v>
      </c>
      <c r="L523" s="24">
        <f>Vlookup(D523,Customer_Tab!$A$2:$C$10,3,FALSE)</f>
        <v>0.15</v>
      </c>
      <c r="M523" s="23">
        <f t="shared" si="3"/>
        <v>19000.8</v>
      </c>
      <c r="N523" s="25">
        <f t="shared" si="4"/>
        <v>107671.2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  <c r="E524" s="23">
        <f>IFERROR(__xludf.DUMMYFUNCTION("SPLIT(C524,""_"")"),371.0)</f>
        <v>371</v>
      </c>
      <c r="F524" s="23" t="str">
        <f>IFERROR(__xludf.DUMMYFUNCTION("""COMPUTED_VALUE"""),"June")</f>
        <v>June</v>
      </c>
      <c r="G524" s="23">
        <f>IFERROR(__xludf.DUMMYFUNCTION("""COMPUTED_VALUE"""),8.0)</f>
        <v>8</v>
      </c>
      <c r="H524" s="23" t="str">
        <f>IFERROR(__xludf.DUMMYFUNCTION("""COMPUTED_VALUE"""),"ABC0023")</f>
        <v>ABC0023</v>
      </c>
      <c r="I524" s="23">
        <f t="shared" si="1"/>
        <v>371</v>
      </c>
      <c r="J524" s="23">
        <f>Vlookup(B524,Product_Tab!$A$2:$C$16,3,FALSE)</f>
        <v>151</v>
      </c>
      <c r="K524" s="23">
        <f t="shared" si="2"/>
        <v>56021</v>
      </c>
      <c r="L524" s="24">
        <f>Vlookup(D524,Customer_Tab!$A$2:$C$10,3,FALSE)</f>
        <v>0.15</v>
      </c>
      <c r="M524" s="23">
        <f t="shared" si="3"/>
        <v>8403.15</v>
      </c>
      <c r="N524" s="25">
        <f t="shared" si="4"/>
        <v>47617.85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  <c r="E525" s="23">
        <f>IFERROR(__xludf.DUMMYFUNCTION("SPLIT(C525,""_"")"),348.0)</f>
        <v>348</v>
      </c>
      <c r="F525" s="23" t="str">
        <f>IFERROR(__xludf.DUMMYFUNCTION("""COMPUTED_VALUE"""),"June")</f>
        <v>June</v>
      </c>
      <c r="G525" s="23">
        <f>IFERROR(__xludf.DUMMYFUNCTION("""COMPUTED_VALUE"""),24.0)</f>
        <v>24</v>
      </c>
      <c r="H525" s="23" t="str">
        <f>IFERROR(__xludf.DUMMYFUNCTION("""COMPUTED_VALUE"""),"ABC0023")</f>
        <v>ABC0023</v>
      </c>
      <c r="I525" s="23">
        <f t="shared" si="1"/>
        <v>348</v>
      </c>
      <c r="J525" s="23">
        <f>Vlookup(B525,Product_Tab!$A$2:$C$16,3,FALSE)</f>
        <v>421</v>
      </c>
      <c r="K525" s="23">
        <f t="shared" si="2"/>
        <v>146508</v>
      </c>
      <c r="L525" s="24">
        <f>Vlookup(D525,Customer_Tab!$A$2:$C$10,3,FALSE)</f>
        <v>0.18</v>
      </c>
      <c r="M525" s="23">
        <f t="shared" si="3"/>
        <v>26371.44</v>
      </c>
      <c r="N525" s="25">
        <f t="shared" si="4"/>
        <v>120136.56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  <c r="E526" s="23">
        <f>IFERROR(__xludf.DUMMYFUNCTION("SPLIT(C526,""_"")"),433.0)</f>
        <v>433</v>
      </c>
      <c r="F526" s="23" t="str">
        <f>IFERROR(__xludf.DUMMYFUNCTION("""COMPUTED_VALUE"""),"June")</f>
        <v>June</v>
      </c>
      <c r="G526" s="23">
        <f>IFERROR(__xludf.DUMMYFUNCTION("""COMPUTED_VALUE"""),14.0)</f>
        <v>14</v>
      </c>
      <c r="H526" s="23" t="str">
        <f>IFERROR(__xludf.DUMMYFUNCTION("""COMPUTED_VALUE"""),"ABC0023")</f>
        <v>ABC0023</v>
      </c>
      <c r="I526" s="23">
        <f t="shared" si="1"/>
        <v>433</v>
      </c>
      <c r="J526" s="23">
        <f>Vlookup(B526,Product_Tab!$A$2:$C$16,3,FALSE)</f>
        <v>795</v>
      </c>
      <c r="K526" s="23">
        <f t="shared" si="2"/>
        <v>344235</v>
      </c>
      <c r="L526" s="24">
        <f>Vlookup(D526,Customer_Tab!$A$2:$C$10,3,FALSE)</f>
        <v>0.18</v>
      </c>
      <c r="M526" s="23">
        <f t="shared" si="3"/>
        <v>61962.3</v>
      </c>
      <c r="N526" s="25">
        <f t="shared" si="4"/>
        <v>282272.7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  <c r="E527" s="23">
        <f>IFERROR(__xludf.DUMMYFUNCTION("SPLIT(C527,""_"")"),298.0)</f>
        <v>298</v>
      </c>
      <c r="F527" s="23" t="str">
        <f>IFERROR(__xludf.DUMMYFUNCTION("""COMPUTED_VALUE"""),"June")</f>
        <v>June</v>
      </c>
      <c r="G527" s="23">
        <f>IFERROR(__xludf.DUMMYFUNCTION("""COMPUTED_VALUE"""),23.0)</f>
        <v>23</v>
      </c>
      <c r="H527" s="23" t="str">
        <f>IFERROR(__xludf.DUMMYFUNCTION("""COMPUTED_VALUE"""),"ABC0023")</f>
        <v>ABC0023</v>
      </c>
      <c r="I527" s="23">
        <f t="shared" si="1"/>
        <v>298</v>
      </c>
      <c r="J527" s="23">
        <f>Vlookup(B527,Product_Tab!$A$2:$C$16,3,FALSE)</f>
        <v>652</v>
      </c>
      <c r="K527" s="23">
        <f t="shared" si="2"/>
        <v>194296</v>
      </c>
      <c r="L527" s="24">
        <f>Vlookup(D527,Customer_Tab!$A$2:$C$10,3,FALSE)</f>
        <v>0.1</v>
      </c>
      <c r="M527" s="23">
        <f t="shared" si="3"/>
        <v>19429.6</v>
      </c>
      <c r="N527" s="25">
        <f t="shared" si="4"/>
        <v>174866.4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  <c r="E528" s="23">
        <f>IFERROR(__xludf.DUMMYFUNCTION("SPLIT(C528,""_"")"),495.0)</f>
        <v>495</v>
      </c>
      <c r="F528" s="23" t="str">
        <f>IFERROR(__xludf.DUMMYFUNCTION("""COMPUTED_VALUE"""),"June")</f>
        <v>June</v>
      </c>
      <c r="G528" s="23">
        <f>IFERROR(__xludf.DUMMYFUNCTION("""COMPUTED_VALUE"""),23.0)</f>
        <v>23</v>
      </c>
      <c r="H528" s="23" t="str">
        <f>IFERROR(__xludf.DUMMYFUNCTION("""COMPUTED_VALUE"""),"ABC0023")</f>
        <v>ABC0023</v>
      </c>
      <c r="I528" s="23">
        <f t="shared" si="1"/>
        <v>495</v>
      </c>
      <c r="J528" s="23">
        <f>Vlookup(B528,Product_Tab!$A$2:$C$16,3,FALSE)</f>
        <v>378</v>
      </c>
      <c r="K528" s="23">
        <f t="shared" si="2"/>
        <v>187110</v>
      </c>
      <c r="L528" s="24">
        <f>Vlookup(D528,Customer_Tab!$A$2:$C$10,3,FALSE)</f>
        <v>0.1</v>
      </c>
      <c r="M528" s="23">
        <f t="shared" si="3"/>
        <v>18711</v>
      </c>
      <c r="N528" s="25">
        <f t="shared" si="4"/>
        <v>168399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  <c r="E529" s="23">
        <f>IFERROR(__xludf.DUMMYFUNCTION("SPLIT(C529,""_"")"),289.0)</f>
        <v>289</v>
      </c>
      <c r="F529" s="23" t="str">
        <f>IFERROR(__xludf.DUMMYFUNCTION("""COMPUTED_VALUE"""),"June")</f>
        <v>June</v>
      </c>
      <c r="G529" s="23">
        <f>IFERROR(__xludf.DUMMYFUNCTION("""COMPUTED_VALUE"""),8.0)</f>
        <v>8</v>
      </c>
      <c r="H529" s="23" t="str">
        <f>IFERROR(__xludf.DUMMYFUNCTION("""COMPUTED_VALUE"""),"ABC0023")</f>
        <v>ABC0023</v>
      </c>
      <c r="I529" s="23">
        <f t="shared" si="1"/>
        <v>289</v>
      </c>
      <c r="J529" s="23">
        <f>Vlookup(B529,Product_Tab!$A$2:$C$16,3,FALSE)</f>
        <v>545</v>
      </c>
      <c r="K529" s="23">
        <f t="shared" si="2"/>
        <v>157505</v>
      </c>
      <c r="L529" s="24">
        <f>Vlookup(D529,Customer_Tab!$A$2:$C$10,3,FALSE)</f>
        <v>0.15</v>
      </c>
      <c r="M529" s="23">
        <f t="shared" si="3"/>
        <v>23625.75</v>
      </c>
      <c r="N529" s="25">
        <f t="shared" si="4"/>
        <v>133879.25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  <c r="E530" s="23">
        <f>IFERROR(__xludf.DUMMYFUNCTION("SPLIT(C530,""_"")"),414.0)</f>
        <v>414</v>
      </c>
      <c r="F530" s="23" t="str">
        <f>IFERROR(__xludf.DUMMYFUNCTION("""COMPUTED_VALUE"""),"June")</f>
        <v>June</v>
      </c>
      <c r="G530" s="23">
        <f>IFERROR(__xludf.DUMMYFUNCTION("""COMPUTED_VALUE"""),20.0)</f>
        <v>20</v>
      </c>
      <c r="H530" s="23" t="str">
        <f>IFERROR(__xludf.DUMMYFUNCTION("""COMPUTED_VALUE"""),"ABC0023")</f>
        <v>ABC0023</v>
      </c>
      <c r="I530" s="23">
        <f t="shared" si="1"/>
        <v>414</v>
      </c>
      <c r="J530" s="23">
        <f>Vlookup(B530,Product_Tab!$A$2:$C$16,3,FALSE)</f>
        <v>203</v>
      </c>
      <c r="K530" s="23">
        <f t="shared" si="2"/>
        <v>84042</v>
      </c>
      <c r="L530" s="24">
        <f>Vlookup(D530,Customer_Tab!$A$2:$C$10,3,FALSE)</f>
        <v>0.18</v>
      </c>
      <c r="M530" s="23">
        <f t="shared" si="3"/>
        <v>15127.56</v>
      </c>
      <c r="N530" s="25">
        <f t="shared" si="4"/>
        <v>68914.44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  <c r="E531" s="23">
        <f>IFERROR(__xludf.DUMMYFUNCTION("SPLIT(C531,""_"")"),315.0)</f>
        <v>315</v>
      </c>
      <c r="F531" s="23" t="str">
        <f>IFERROR(__xludf.DUMMYFUNCTION("""COMPUTED_VALUE"""),"June")</f>
        <v>June</v>
      </c>
      <c r="G531" s="23">
        <f>IFERROR(__xludf.DUMMYFUNCTION("""COMPUTED_VALUE"""),15.0)</f>
        <v>15</v>
      </c>
      <c r="H531" s="23" t="str">
        <f>IFERROR(__xludf.DUMMYFUNCTION("""COMPUTED_VALUE"""),"ABC0023")</f>
        <v>ABC0023</v>
      </c>
      <c r="I531" s="23">
        <f t="shared" si="1"/>
        <v>315</v>
      </c>
      <c r="J531" s="23">
        <f>Vlookup(B531,Product_Tab!$A$2:$C$16,3,FALSE)</f>
        <v>131</v>
      </c>
      <c r="K531" s="23">
        <f t="shared" si="2"/>
        <v>41265</v>
      </c>
      <c r="L531" s="24">
        <f>Vlookup(D531,Customer_Tab!$A$2:$C$10,3,FALSE)</f>
        <v>0.1</v>
      </c>
      <c r="M531" s="23">
        <f t="shared" si="3"/>
        <v>4126.5</v>
      </c>
      <c r="N531" s="25">
        <f t="shared" si="4"/>
        <v>37138.5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  <c r="E532" s="23">
        <f>IFERROR(__xludf.DUMMYFUNCTION("SPLIT(C532,""_"")"),387.0)</f>
        <v>387</v>
      </c>
      <c r="F532" s="23" t="str">
        <f>IFERROR(__xludf.DUMMYFUNCTION("""COMPUTED_VALUE"""),"June")</f>
        <v>June</v>
      </c>
      <c r="G532" s="23">
        <f>IFERROR(__xludf.DUMMYFUNCTION("""COMPUTED_VALUE"""),9.0)</f>
        <v>9</v>
      </c>
      <c r="H532" s="23" t="str">
        <f>IFERROR(__xludf.DUMMYFUNCTION("""COMPUTED_VALUE"""),"ABC0023")</f>
        <v>ABC0023</v>
      </c>
      <c r="I532" s="23">
        <f t="shared" si="1"/>
        <v>387</v>
      </c>
      <c r="J532" s="23">
        <f>Vlookup(B532,Product_Tab!$A$2:$C$16,3,FALSE)</f>
        <v>50</v>
      </c>
      <c r="K532" s="23">
        <f t="shared" si="2"/>
        <v>19350</v>
      </c>
      <c r="L532" s="24">
        <f>Vlookup(D532,Customer_Tab!$A$2:$C$10,3,FALSE)</f>
        <v>0.15</v>
      </c>
      <c r="M532" s="23">
        <f t="shared" si="3"/>
        <v>2902.5</v>
      </c>
      <c r="N532" s="25">
        <f t="shared" si="4"/>
        <v>16447.5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  <c r="E533" s="23">
        <f>IFERROR(__xludf.DUMMYFUNCTION("SPLIT(C533,""_"")"),455.0)</f>
        <v>455</v>
      </c>
      <c r="F533" s="23" t="str">
        <f>IFERROR(__xludf.DUMMYFUNCTION("""COMPUTED_VALUE"""),"June")</f>
        <v>June</v>
      </c>
      <c r="G533" s="23">
        <f>IFERROR(__xludf.DUMMYFUNCTION("""COMPUTED_VALUE"""),12.0)</f>
        <v>12</v>
      </c>
      <c r="H533" s="23" t="str">
        <f>IFERROR(__xludf.DUMMYFUNCTION("""COMPUTED_VALUE"""),"ABC0023")</f>
        <v>ABC0023</v>
      </c>
      <c r="I533" s="23">
        <f t="shared" si="1"/>
        <v>455</v>
      </c>
      <c r="J533" s="23">
        <f>Vlookup(B533,Product_Tab!$A$2:$C$16,3,FALSE)</f>
        <v>76</v>
      </c>
      <c r="K533" s="23">
        <f t="shared" si="2"/>
        <v>34580</v>
      </c>
      <c r="L533" s="24">
        <f>Vlookup(D533,Customer_Tab!$A$2:$C$10,3,FALSE)</f>
        <v>0.15</v>
      </c>
      <c r="M533" s="23">
        <f t="shared" si="3"/>
        <v>5187</v>
      </c>
      <c r="N533" s="25">
        <f t="shared" si="4"/>
        <v>29393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  <c r="E534" s="23">
        <f>IFERROR(__xludf.DUMMYFUNCTION("SPLIT(C534,""_"")"),294.0)</f>
        <v>294</v>
      </c>
      <c r="F534" s="23" t="str">
        <f>IFERROR(__xludf.DUMMYFUNCTION("""COMPUTED_VALUE"""),"June")</f>
        <v>June</v>
      </c>
      <c r="G534" s="23">
        <f>IFERROR(__xludf.DUMMYFUNCTION("""COMPUTED_VALUE"""),11.0)</f>
        <v>11</v>
      </c>
      <c r="H534" s="23" t="str">
        <f>IFERROR(__xludf.DUMMYFUNCTION("""COMPUTED_VALUE"""),"ABC0023")</f>
        <v>ABC0023</v>
      </c>
      <c r="I534" s="23">
        <f t="shared" si="1"/>
        <v>294</v>
      </c>
      <c r="J534" s="23">
        <f>Vlookup(B534,Product_Tab!$A$2:$C$16,3,FALSE)</f>
        <v>659</v>
      </c>
      <c r="K534" s="23">
        <f t="shared" si="2"/>
        <v>193746</v>
      </c>
      <c r="L534" s="24">
        <f>Vlookup(D534,Customer_Tab!$A$2:$C$10,3,FALSE)</f>
        <v>0.18</v>
      </c>
      <c r="M534" s="23">
        <f t="shared" si="3"/>
        <v>34874.28</v>
      </c>
      <c r="N534" s="25">
        <f t="shared" si="4"/>
        <v>158871.72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  <c r="E535" s="23">
        <f>IFERROR(__xludf.DUMMYFUNCTION("SPLIT(C535,""_"")"),283.0)</f>
        <v>283</v>
      </c>
      <c r="F535" s="23" t="str">
        <f>IFERROR(__xludf.DUMMYFUNCTION("""COMPUTED_VALUE"""),"June")</f>
        <v>June</v>
      </c>
      <c r="G535" s="23">
        <f>IFERROR(__xludf.DUMMYFUNCTION("""COMPUTED_VALUE"""),17.0)</f>
        <v>17</v>
      </c>
      <c r="H535" s="23" t="str">
        <f>IFERROR(__xludf.DUMMYFUNCTION("""COMPUTED_VALUE"""),"ABC0023")</f>
        <v>ABC0023</v>
      </c>
      <c r="I535" s="23">
        <f t="shared" si="1"/>
        <v>283</v>
      </c>
      <c r="J535" s="23">
        <f>Vlookup(B535,Product_Tab!$A$2:$C$16,3,FALSE)</f>
        <v>286</v>
      </c>
      <c r="K535" s="23">
        <f t="shared" si="2"/>
        <v>80938</v>
      </c>
      <c r="L535" s="24">
        <f>Vlookup(D535,Customer_Tab!$A$2:$C$10,3,FALSE)</f>
        <v>0.18</v>
      </c>
      <c r="M535" s="23">
        <f t="shared" si="3"/>
        <v>14568.84</v>
      </c>
      <c r="N535" s="25">
        <f t="shared" si="4"/>
        <v>66369.16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  <c r="E536" s="23">
        <f>IFERROR(__xludf.DUMMYFUNCTION("SPLIT(C536,""_"")"),222.0)</f>
        <v>222</v>
      </c>
      <c r="F536" s="23" t="str">
        <f>IFERROR(__xludf.DUMMYFUNCTION("""COMPUTED_VALUE"""),"June")</f>
        <v>June</v>
      </c>
      <c r="G536" s="23">
        <f>IFERROR(__xludf.DUMMYFUNCTION("""COMPUTED_VALUE"""),19.0)</f>
        <v>19</v>
      </c>
      <c r="H536" s="23" t="str">
        <f>IFERROR(__xludf.DUMMYFUNCTION("""COMPUTED_VALUE"""),"ABC0023")</f>
        <v>ABC0023</v>
      </c>
      <c r="I536" s="23">
        <f t="shared" si="1"/>
        <v>222</v>
      </c>
      <c r="J536" s="23">
        <f>Vlookup(B536,Product_Tab!$A$2:$C$16,3,FALSE)</f>
        <v>223</v>
      </c>
      <c r="K536" s="23">
        <f t="shared" si="2"/>
        <v>49506</v>
      </c>
      <c r="L536" s="24">
        <f>Vlookup(D536,Customer_Tab!$A$2:$C$10,3,FALSE)</f>
        <v>0.1</v>
      </c>
      <c r="M536" s="23">
        <f t="shared" si="3"/>
        <v>4950.6</v>
      </c>
      <c r="N536" s="25">
        <f t="shared" si="4"/>
        <v>44555.4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  <c r="E537" s="23">
        <f>IFERROR(__xludf.DUMMYFUNCTION("SPLIT(C537,""_"")"),403.0)</f>
        <v>403</v>
      </c>
      <c r="F537" s="23" t="str">
        <f>IFERROR(__xludf.DUMMYFUNCTION("""COMPUTED_VALUE"""),"June")</f>
        <v>June</v>
      </c>
      <c r="G537" s="23">
        <f>IFERROR(__xludf.DUMMYFUNCTION("""COMPUTED_VALUE"""),14.0)</f>
        <v>14</v>
      </c>
      <c r="H537" s="23" t="str">
        <f>IFERROR(__xludf.DUMMYFUNCTION("""COMPUTED_VALUE"""),"ABC0023")</f>
        <v>ABC0023</v>
      </c>
      <c r="I537" s="23">
        <f t="shared" si="1"/>
        <v>403</v>
      </c>
      <c r="J537" s="23">
        <f>Vlookup(B537,Product_Tab!$A$2:$C$16,3,FALSE)</f>
        <v>721</v>
      </c>
      <c r="K537" s="23">
        <f t="shared" si="2"/>
        <v>290563</v>
      </c>
      <c r="L537" s="24">
        <f>Vlookup(D537,Customer_Tab!$A$2:$C$10,3,FALSE)</f>
        <v>0.1</v>
      </c>
      <c r="M537" s="23">
        <f t="shared" si="3"/>
        <v>29056.3</v>
      </c>
      <c r="N537" s="25">
        <f t="shared" si="4"/>
        <v>261506.7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  <c r="E538" s="23">
        <f>IFERROR(__xludf.DUMMYFUNCTION("SPLIT(C538,""_"")"),286.0)</f>
        <v>286</v>
      </c>
      <c r="F538" s="23" t="str">
        <f>IFERROR(__xludf.DUMMYFUNCTION("""COMPUTED_VALUE"""),"June")</f>
        <v>June</v>
      </c>
      <c r="G538" s="23">
        <f>IFERROR(__xludf.DUMMYFUNCTION("""COMPUTED_VALUE"""),6.0)</f>
        <v>6</v>
      </c>
      <c r="H538" s="23" t="str">
        <f>IFERROR(__xludf.DUMMYFUNCTION("""COMPUTED_VALUE"""),"ABC0023")</f>
        <v>ABC0023</v>
      </c>
      <c r="I538" s="23">
        <f t="shared" si="1"/>
        <v>286</v>
      </c>
      <c r="J538" s="23">
        <f>Vlookup(B538,Product_Tab!$A$2:$C$16,3,FALSE)</f>
        <v>273</v>
      </c>
      <c r="K538" s="23">
        <f t="shared" si="2"/>
        <v>78078</v>
      </c>
      <c r="L538" s="24">
        <f>Vlookup(D538,Customer_Tab!$A$2:$C$10,3,FALSE)</f>
        <v>0.15</v>
      </c>
      <c r="M538" s="23">
        <f t="shared" si="3"/>
        <v>11711.7</v>
      </c>
      <c r="N538" s="25">
        <f t="shared" si="4"/>
        <v>66366.3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  <c r="E539" s="23">
        <f>IFERROR(__xludf.DUMMYFUNCTION("SPLIT(C539,""_"")"),421.0)</f>
        <v>421</v>
      </c>
      <c r="F539" s="23" t="str">
        <f>IFERROR(__xludf.DUMMYFUNCTION("""COMPUTED_VALUE"""),"June")</f>
        <v>June</v>
      </c>
      <c r="G539" s="23">
        <f>IFERROR(__xludf.DUMMYFUNCTION("""COMPUTED_VALUE"""),11.0)</f>
        <v>11</v>
      </c>
      <c r="H539" s="23" t="str">
        <f>IFERROR(__xludf.DUMMYFUNCTION("""COMPUTED_VALUE"""),"ABC0023")</f>
        <v>ABC0023</v>
      </c>
      <c r="I539" s="23">
        <f t="shared" si="1"/>
        <v>421</v>
      </c>
      <c r="J539" s="23">
        <f>Vlookup(B539,Product_Tab!$A$2:$C$16,3,FALSE)</f>
        <v>151</v>
      </c>
      <c r="K539" s="23">
        <f t="shared" si="2"/>
        <v>63571</v>
      </c>
      <c r="L539" s="24">
        <f>Vlookup(D539,Customer_Tab!$A$2:$C$10,3,FALSE)</f>
        <v>0.18</v>
      </c>
      <c r="M539" s="23">
        <f t="shared" si="3"/>
        <v>11442.78</v>
      </c>
      <c r="N539" s="25">
        <f t="shared" si="4"/>
        <v>52128.22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  <c r="E540" s="23">
        <f>IFERROR(__xludf.DUMMYFUNCTION("SPLIT(C540,""_"")"),482.0)</f>
        <v>482</v>
      </c>
      <c r="F540" s="23" t="str">
        <f>IFERROR(__xludf.DUMMYFUNCTION("""COMPUTED_VALUE"""),"June")</f>
        <v>June</v>
      </c>
      <c r="G540" s="23">
        <f>IFERROR(__xludf.DUMMYFUNCTION("""COMPUTED_VALUE"""),14.0)</f>
        <v>14</v>
      </c>
      <c r="H540" s="23" t="str">
        <f>IFERROR(__xludf.DUMMYFUNCTION("""COMPUTED_VALUE"""),"ABC0023")</f>
        <v>ABC0023</v>
      </c>
      <c r="I540" s="23">
        <f t="shared" si="1"/>
        <v>482</v>
      </c>
      <c r="J540" s="23">
        <f>Vlookup(B540,Product_Tab!$A$2:$C$16,3,FALSE)</f>
        <v>421</v>
      </c>
      <c r="K540" s="23">
        <f t="shared" si="2"/>
        <v>202922</v>
      </c>
      <c r="L540" s="24">
        <f>Vlookup(D540,Customer_Tab!$A$2:$C$10,3,FALSE)</f>
        <v>0.1</v>
      </c>
      <c r="M540" s="23">
        <f t="shared" si="3"/>
        <v>20292.2</v>
      </c>
      <c r="N540" s="25">
        <f t="shared" si="4"/>
        <v>182629.8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  <c r="E541" s="23">
        <f>IFERROR(__xludf.DUMMYFUNCTION("SPLIT(C541,""_"")"),292.0)</f>
        <v>292</v>
      </c>
      <c r="F541" s="23" t="str">
        <f>IFERROR(__xludf.DUMMYFUNCTION("""COMPUTED_VALUE"""),"June")</f>
        <v>June</v>
      </c>
      <c r="G541" s="23">
        <f>IFERROR(__xludf.DUMMYFUNCTION("""COMPUTED_VALUE"""),13.0)</f>
        <v>13</v>
      </c>
      <c r="H541" s="23" t="str">
        <f>IFERROR(__xludf.DUMMYFUNCTION("""COMPUTED_VALUE"""),"ABC0023")</f>
        <v>ABC0023</v>
      </c>
      <c r="I541" s="23">
        <f t="shared" si="1"/>
        <v>292</v>
      </c>
      <c r="J541" s="23">
        <f>Vlookup(B541,Product_Tab!$A$2:$C$16,3,FALSE)</f>
        <v>795</v>
      </c>
      <c r="K541" s="23">
        <f t="shared" si="2"/>
        <v>232140</v>
      </c>
      <c r="L541" s="24">
        <f>Vlookup(D541,Customer_Tab!$A$2:$C$10,3,FALSE)</f>
        <v>0.15</v>
      </c>
      <c r="M541" s="23">
        <f t="shared" si="3"/>
        <v>34821</v>
      </c>
      <c r="N541" s="25">
        <f t="shared" si="4"/>
        <v>197319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  <c r="E542" s="23">
        <f>IFERROR(__xludf.DUMMYFUNCTION("SPLIT(C542,""_"")"),445.0)</f>
        <v>445</v>
      </c>
      <c r="F542" s="23" t="str">
        <f>IFERROR(__xludf.DUMMYFUNCTION("""COMPUTED_VALUE"""),"June")</f>
        <v>June</v>
      </c>
      <c r="G542" s="23">
        <f>IFERROR(__xludf.DUMMYFUNCTION("""COMPUTED_VALUE"""),1.0)</f>
        <v>1</v>
      </c>
      <c r="H542" s="23" t="str">
        <f>IFERROR(__xludf.DUMMYFUNCTION("""COMPUTED_VALUE"""),"ABC0023")</f>
        <v>ABC0023</v>
      </c>
      <c r="I542" s="23">
        <f t="shared" si="1"/>
        <v>445</v>
      </c>
      <c r="J542" s="23">
        <f>Vlookup(B542,Product_Tab!$A$2:$C$16,3,FALSE)</f>
        <v>652</v>
      </c>
      <c r="K542" s="23">
        <f t="shared" si="2"/>
        <v>290140</v>
      </c>
      <c r="L542" s="24">
        <f>Vlookup(D542,Customer_Tab!$A$2:$C$10,3,FALSE)</f>
        <v>0.15</v>
      </c>
      <c r="M542" s="23">
        <f t="shared" si="3"/>
        <v>43521</v>
      </c>
      <c r="N542" s="25">
        <f t="shared" si="4"/>
        <v>246619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  <c r="E543" s="23">
        <f>IFERROR(__xludf.DUMMYFUNCTION("SPLIT(C543,""_"")"),376.0)</f>
        <v>376</v>
      </c>
      <c r="F543" s="23" t="str">
        <f>IFERROR(__xludf.DUMMYFUNCTION("""COMPUTED_VALUE"""),"June")</f>
        <v>June</v>
      </c>
      <c r="G543" s="23">
        <f>IFERROR(__xludf.DUMMYFUNCTION("""COMPUTED_VALUE"""),27.0)</f>
        <v>27</v>
      </c>
      <c r="H543" s="23" t="str">
        <f>IFERROR(__xludf.DUMMYFUNCTION("""COMPUTED_VALUE"""),"ABC0023")</f>
        <v>ABC0023</v>
      </c>
      <c r="I543" s="23">
        <f t="shared" si="1"/>
        <v>376</v>
      </c>
      <c r="J543" s="23">
        <f>Vlookup(B543,Product_Tab!$A$2:$C$16,3,FALSE)</f>
        <v>378</v>
      </c>
      <c r="K543" s="23">
        <f t="shared" si="2"/>
        <v>142128</v>
      </c>
      <c r="L543" s="24">
        <f>Vlookup(D543,Customer_Tab!$A$2:$C$10,3,FALSE)</f>
        <v>0.18</v>
      </c>
      <c r="M543" s="23">
        <f t="shared" si="3"/>
        <v>25583.04</v>
      </c>
      <c r="N543" s="25">
        <f t="shared" si="4"/>
        <v>116544.96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  <c r="E544" s="23">
        <f>IFERROR(__xludf.DUMMYFUNCTION("SPLIT(C544,""_"")"),478.0)</f>
        <v>478</v>
      </c>
      <c r="F544" s="23" t="str">
        <f>IFERROR(__xludf.DUMMYFUNCTION("""COMPUTED_VALUE"""),"June")</f>
        <v>June</v>
      </c>
      <c r="G544" s="23">
        <f>IFERROR(__xludf.DUMMYFUNCTION("""COMPUTED_VALUE"""),14.0)</f>
        <v>14</v>
      </c>
      <c r="H544" s="23" t="str">
        <f>IFERROR(__xludf.DUMMYFUNCTION("""COMPUTED_VALUE"""),"ABC0023")</f>
        <v>ABC0023</v>
      </c>
      <c r="I544" s="23">
        <f t="shared" si="1"/>
        <v>478</v>
      </c>
      <c r="J544" s="23">
        <f>Vlookup(B544,Product_Tab!$A$2:$C$16,3,FALSE)</f>
        <v>545</v>
      </c>
      <c r="K544" s="23">
        <f t="shared" si="2"/>
        <v>260510</v>
      </c>
      <c r="L544" s="24">
        <f>Vlookup(D544,Customer_Tab!$A$2:$C$10,3,FALSE)</f>
        <v>0.18</v>
      </c>
      <c r="M544" s="23">
        <f t="shared" si="3"/>
        <v>46891.8</v>
      </c>
      <c r="N544" s="25">
        <f t="shared" si="4"/>
        <v>213618.2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  <c r="E545" s="23">
        <f>IFERROR(__xludf.DUMMYFUNCTION("SPLIT(C545,""_"")"),447.0)</f>
        <v>447</v>
      </c>
      <c r="F545" s="23" t="str">
        <f>IFERROR(__xludf.DUMMYFUNCTION("""COMPUTED_VALUE"""),"June")</f>
        <v>June</v>
      </c>
      <c r="G545" s="23">
        <f>IFERROR(__xludf.DUMMYFUNCTION("""COMPUTED_VALUE"""),3.0)</f>
        <v>3</v>
      </c>
      <c r="H545" s="23" t="str">
        <f>IFERROR(__xludf.DUMMYFUNCTION("""COMPUTED_VALUE"""),"ABC0023")</f>
        <v>ABC0023</v>
      </c>
      <c r="I545" s="23">
        <f t="shared" si="1"/>
        <v>447</v>
      </c>
      <c r="J545" s="23">
        <f>Vlookup(B545,Product_Tab!$A$2:$C$16,3,FALSE)</f>
        <v>203</v>
      </c>
      <c r="K545" s="23">
        <f t="shared" si="2"/>
        <v>90741</v>
      </c>
      <c r="L545" s="24">
        <f>Vlookup(D545,Customer_Tab!$A$2:$C$10,3,FALSE)</f>
        <v>0.1</v>
      </c>
      <c r="M545" s="23">
        <f t="shared" si="3"/>
        <v>9074.1</v>
      </c>
      <c r="N545" s="25">
        <f t="shared" si="4"/>
        <v>81666.9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  <c r="E546" s="23">
        <f>IFERROR(__xludf.DUMMYFUNCTION("SPLIT(C546,""_"")"),231.0)</f>
        <v>231</v>
      </c>
      <c r="F546" s="23" t="str">
        <f>IFERROR(__xludf.DUMMYFUNCTION("""COMPUTED_VALUE"""),"June")</f>
        <v>June</v>
      </c>
      <c r="G546" s="23">
        <f>IFERROR(__xludf.DUMMYFUNCTION("""COMPUTED_VALUE"""),9.0)</f>
        <v>9</v>
      </c>
      <c r="H546" s="23" t="str">
        <f>IFERROR(__xludf.DUMMYFUNCTION("""COMPUTED_VALUE"""),"ABC0023")</f>
        <v>ABC0023</v>
      </c>
      <c r="I546" s="23">
        <f t="shared" si="1"/>
        <v>231</v>
      </c>
      <c r="J546" s="23">
        <f>Vlookup(B546,Product_Tab!$A$2:$C$16,3,FALSE)</f>
        <v>131</v>
      </c>
      <c r="K546" s="23">
        <f t="shared" si="2"/>
        <v>30261</v>
      </c>
      <c r="L546" s="24">
        <f>Vlookup(D546,Customer_Tab!$A$2:$C$10,3,FALSE)</f>
        <v>0.1</v>
      </c>
      <c r="M546" s="23">
        <f t="shared" si="3"/>
        <v>3026.1</v>
      </c>
      <c r="N546" s="25">
        <f t="shared" si="4"/>
        <v>27234.9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  <c r="E547" s="23">
        <f>IFERROR(__xludf.DUMMYFUNCTION("SPLIT(C547,""_"")"),210.0)</f>
        <v>210</v>
      </c>
      <c r="F547" s="23" t="str">
        <f>IFERROR(__xludf.DUMMYFUNCTION("""COMPUTED_VALUE"""),"June")</f>
        <v>June</v>
      </c>
      <c r="G547" s="23">
        <f>IFERROR(__xludf.DUMMYFUNCTION("""COMPUTED_VALUE"""),22.0)</f>
        <v>22</v>
      </c>
      <c r="H547" s="23" t="str">
        <f>IFERROR(__xludf.DUMMYFUNCTION("""COMPUTED_VALUE"""),"ABC0023")</f>
        <v>ABC0023</v>
      </c>
      <c r="I547" s="23">
        <f t="shared" si="1"/>
        <v>210</v>
      </c>
      <c r="J547" s="23">
        <f>Vlookup(B547,Product_Tab!$A$2:$C$16,3,FALSE)</f>
        <v>50</v>
      </c>
      <c r="K547" s="23">
        <f t="shared" si="2"/>
        <v>10500</v>
      </c>
      <c r="L547" s="24">
        <f>Vlookup(D547,Customer_Tab!$A$2:$C$10,3,FALSE)</f>
        <v>0.15</v>
      </c>
      <c r="M547" s="23">
        <f t="shared" si="3"/>
        <v>1575</v>
      </c>
      <c r="N547" s="25">
        <f t="shared" si="4"/>
        <v>8925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  <c r="E548" s="23">
        <f>IFERROR(__xludf.DUMMYFUNCTION("SPLIT(C548,""_"")"),398.0)</f>
        <v>398</v>
      </c>
      <c r="F548" s="23" t="str">
        <f>IFERROR(__xludf.DUMMYFUNCTION("""COMPUTED_VALUE"""),"June")</f>
        <v>June</v>
      </c>
      <c r="G548" s="23">
        <f>IFERROR(__xludf.DUMMYFUNCTION("""COMPUTED_VALUE"""),6.0)</f>
        <v>6</v>
      </c>
      <c r="H548" s="23" t="str">
        <f>IFERROR(__xludf.DUMMYFUNCTION("""COMPUTED_VALUE"""),"ABC0023")</f>
        <v>ABC0023</v>
      </c>
      <c r="I548" s="23">
        <f t="shared" si="1"/>
        <v>398</v>
      </c>
      <c r="J548" s="23">
        <f>Vlookup(B548,Product_Tab!$A$2:$C$16,3,FALSE)</f>
        <v>76</v>
      </c>
      <c r="K548" s="23">
        <f t="shared" si="2"/>
        <v>30248</v>
      </c>
      <c r="L548" s="24">
        <f>Vlookup(D548,Customer_Tab!$A$2:$C$10,3,FALSE)</f>
        <v>0.18</v>
      </c>
      <c r="M548" s="23">
        <f t="shared" si="3"/>
        <v>5444.64</v>
      </c>
      <c r="N548" s="25">
        <f t="shared" si="4"/>
        <v>24803.36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  <c r="E549" s="23">
        <f>IFERROR(__xludf.DUMMYFUNCTION("SPLIT(C549,""_"")"),361.0)</f>
        <v>361</v>
      </c>
      <c r="F549" s="23" t="str">
        <f>IFERROR(__xludf.DUMMYFUNCTION("""COMPUTED_VALUE"""),"June")</f>
        <v>June</v>
      </c>
      <c r="G549" s="23">
        <f>IFERROR(__xludf.DUMMYFUNCTION("""COMPUTED_VALUE"""),6.0)</f>
        <v>6</v>
      </c>
      <c r="H549" s="23" t="str">
        <f>IFERROR(__xludf.DUMMYFUNCTION("""COMPUTED_VALUE"""),"ABC0023")</f>
        <v>ABC0023</v>
      </c>
      <c r="I549" s="23">
        <f t="shared" si="1"/>
        <v>361</v>
      </c>
      <c r="J549" s="23">
        <f>Vlookup(B549,Product_Tab!$A$2:$C$16,3,FALSE)</f>
        <v>659</v>
      </c>
      <c r="K549" s="23">
        <f t="shared" si="2"/>
        <v>237899</v>
      </c>
      <c r="L549" s="24">
        <f>Vlookup(D549,Customer_Tab!$A$2:$C$10,3,FALSE)</f>
        <v>0.1</v>
      </c>
      <c r="M549" s="23">
        <f t="shared" si="3"/>
        <v>23789.9</v>
      </c>
      <c r="N549" s="25">
        <f t="shared" si="4"/>
        <v>214109.1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  <c r="E550" s="23">
        <f>IFERROR(__xludf.DUMMYFUNCTION("SPLIT(C550,""_"")"),325.0)</f>
        <v>325</v>
      </c>
      <c r="F550" s="23" t="str">
        <f>IFERROR(__xludf.DUMMYFUNCTION("""COMPUTED_VALUE"""),"June")</f>
        <v>June</v>
      </c>
      <c r="G550" s="23">
        <f>IFERROR(__xludf.DUMMYFUNCTION("""COMPUTED_VALUE"""),19.0)</f>
        <v>19</v>
      </c>
      <c r="H550" s="23" t="str">
        <f>IFERROR(__xludf.DUMMYFUNCTION("""COMPUTED_VALUE"""),"ABC0023")</f>
        <v>ABC0023</v>
      </c>
      <c r="I550" s="23">
        <f t="shared" si="1"/>
        <v>325</v>
      </c>
      <c r="J550" s="23">
        <f>Vlookup(B550,Product_Tab!$A$2:$C$16,3,FALSE)</f>
        <v>286</v>
      </c>
      <c r="K550" s="23">
        <f t="shared" si="2"/>
        <v>92950</v>
      </c>
      <c r="L550" s="24">
        <f>Vlookup(D550,Customer_Tab!$A$2:$C$10,3,FALSE)</f>
        <v>0.15</v>
      </c>
      <c r="M550" s="23">
        <f t="shared" si="3"/>
        <v>13942.5</v>
      </c>
      <c r="N550" s="25">
        <f t="shared" si="4"/>
        <v>79007.5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  <c r="E551" s="23">
        <f>IFERROR(__xludf.DUMMYFUNCTION("SPLIT(C551,""_"")"),287.0)</f>
        <v>287</v>
      </c>
      <c r="F551" s="23" t="str">
        <f>IFERROR(__xludf.DUMMYFUNCTION("""COMPUTED_VALUE"""),"June")</f>
        <v>June</v>
      </c>
      <c r="G551" s="23">
        <f>IFERROR(__xludf.DUMMYFUNCTION("""COMPUTED_VALUE"""),23.0)</f>
        <v>23</v>
      </c>
      <c r="H551" s="23" t="str">
        <f>IFERROR(__xludf.DUMMYFUNCTION("""COMPUTED_VALUE"""),"ABC0023")</f>
        <v>ABC0023</v>
      </c>
      <c r="I551" s="23">
        <f t="shared" si="1"/>
        <v>287</v>
      </c>
      <c r="J551" s="23">
        <f>Vlookup(B551,Product_Tab!$A$2:$C$16,3,FALSE)</f>
        <v>223</v>
      </c>
      <c r="K551" s="23">
        <f t="shared" si="2"/>
        <v>64001</v>
      </c>
      <c r="L551" s="24">
        <f>Vlookup(D551,Customer_Tab!$A$2:$C$10,3,FALSE)</f>
        <v>0.15</v>
      </c>
      <c r="M551" s="23">
        <f t="shared" si="3"/>
        <v>9600.15</v>
      </c>
      <c r="N551" s="25">
        <f t="shared" si="4"/>
        <v>54400.85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  <c r="E552" s="23">
        <f>IFERROR(__xludf.DUMMYFUNCTION("SPLIT(C552,""_"")"),295.0)</f>
        <v>295</v>
      </c>
      <c r="F552" s="23" t="str">
        <f>IFERROR(__xludf.DUMMYFUNCTION("""COMPUTED_VALUE"""),"June")</f>
        <v>June</v>
      </c>
      <c r="G552" s="23">
        <f>IFERROR(__xludf.DUMMYFUNCTION("""COMPUTED_VALUE"""),2.0)</f>
        <v>2</v>
      </c>
      <c r="H552" s="23" t="str">
        <f>IFERROR(__xludf.DUMMYFUNCTION("""COMPUTED_VALUE"""),"ABC0023")</f>
        <v>ABC0023</v>
      </c>
      <c r="I552" s="23">
        <f t="shared" si="1"/>
        <v>295</v>
      </c>
      <c r="J552" s="23">
        <f>Vlookup(B552,Product_Tab!$A$2:$C$16,3,FALSE)</f>
        <v>721</v>
      </c>
      <c r="K552" s="23">
        <f t="shared" si="2"/>
        <v>212695</v>
      </c>
      <c r="L552" s="24">
        <f>Vlookup(D552,Customer_Tab!$A$2:$C$10,3,FALSE)</f>
        <v>0.18</v>
      </c>
      <c r="M552" s="23">
        <f t="shared" si="3"/>
        <v>38285.1</v>
      </c>
      <c r="N552" s="25">
        <f t="shared" si="4"/>
        <v>174409.9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  <c r="E553" s="23">
        <f>IFERROR(__xludf.DUMMYFUNCTION("SPLIT(C553,""_"")"),381.0)</f>
        <v>381</v>
      </c>
      <c r="F553" s="23" t="str">
        <f>IFERROR(__xludf.DUMMYFUNCTION("""COMPUTED_VALUE"""),"June")</f>
        <v>June</v>
      </c>
      <c r="G553" s="23">
        <f>IFERROR(__xludf.DUMMYFUNCTION("""COMPUTED_VALUE"""),2.0)</f>
        <v>2</v>
      </c>
      <c r="H553" s="23" t="str">
        <f>IFERROR(__xludf.DUMMYFUNCTION("""COMPUTED_VALUE"""),"ABC0023")</f>
        <v>ABC0023</v>
      </c>
      <c r="I553" s="23">
        <f t="shared" si="1"/>
        <v>381</v>
      </c>
      <c r="J553" s="23">
        <f>Vlookup(B553,Product_Tab!$A$2:$C$16,3,FALSE)</f>
        <v>273</v>
      </c>
      <c r="K553" s="23">
        <f t="shared" si="2"/>
        <v>104013</v>
      </c>
      <c r="L553" s="24">
        <f>Vlookup(D553,Customer_Tab!$A$2:$C$10,3,FALSE)</f>
        <v>0.18</v>
      </c>
      <c r="M553" s="23">
        <f t="shared" si="3"/>
        <v>18722.34</v>
      </c>
      <c r="N553" s="25">
        <f t="shared" si="4"/>
        <v>85290.66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  <c r="E554" s="23">
        <f>IFERROR(__xludf.DUMMYFUNCTION("SPLIT(C554,""_"")"),481.0)</f>
        <v>481</v>
      </c>
      <c r="F554" s="23" t="str">
        <f>IFERROR(__xludf.DUMMYFUNCTION("""COMPUTED_VALUE"""),"June")</f>
        <v>June</v>
      </c>
      <c r="G554" s="23">
        <f>IFERROR(__xludf.DUMMYFUNCTION("""COMPUTED_VALUE"""),16.0)</f>
        <v>16</v>
      </c>
      <c r="H554" s="23" t="str">
        <f>IFERROR(__xludf.DUMMYFUNCTION("""COMPUTED_VALUE"""),"ABC0023")</f>
        <v>ABC0023</v>
      </c>
      <c r="I554" s="23">
        <f t="shared" si="1"/>
        <v>481</v>
      </c>
      <c r="J554" s="23">
        <f>Vlookup(B554,Product_Tab!$A$2:$C$16,3,FALSE)</f>
        <v>151</v>
      </c>
      <c r="K554" s="23">
        <f t="shared" si="2"/>
        <v>72631</v>
      </c>
      <c r="L554" s="24">
        <f>Vlookup(D554,Customer_Tab!$A$2:$C$10,3,FALSE)</f>
        <v>0.1</v>
      </c>
      <c r="M554" s="23">
        <f t="shared" si="3"/>
        <v>7263.1</v>
      </c>
      <c r="N554" s="25">
        <f t="shared" si="4"/>
        <v>65367.9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  <c r="E555" s="23">
        <f>IFERROR(__xludf.DUMMYFUNCTION("SPLIT(C555,""_"")"),350.0)</f>
        <v>350</v>
      </c>
      <c r="F555" s="23" t="str">
        <f>IFERROR(__xludf.DUMMYFUNCTION("""COMPUTED_VALUE"""),"June")</f>
        <v>June</v>
      </c>
      <c r="G555" s="23">
        <f>IFERROR(__xludf.DUMMYFUNCTION("""COMPUTED_VALUE"""),27.0)</f>
        <v>27</v>
      </c>
      <c r="H555" s="23" t="str">
        <f>IFERROR(__xludf.DUMMYFUNCTION("""COMPUTED_VALUE"""),"ABC0023")</f>
        <v>ABC0023</v>
      </c>
      <c r="I555" s="23">
        <f t="shared" si="1"/>
        <v>350</v>
      </c>
      <c r="J555" s="23">
        <f>Vlookup(B555,Product_Tab!$A$2:$C$16,3,FALSE)</f>
        <v>421</v>
      </c>
      <c r="K555" s="23">
        <f t="shared" si="2"/>
        <v>147350</v>
      </c>
      <c r="L555" s="24">
        <f>Vlookup(D555,Customer_Tab!$A$2:$C$10,3,FALSE)</f>
        <v>0.1</v>
      </c>
      <c r="M555" s="23">
        <f t="shared" si="3"/>
        <v>14735</v>
      </c>
      <c r="N555" s="25">
        <f t="shared" si="4"/>
        <v>132615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  <c r="E556" s="23">
        <f>IFERROR(__xludf.DUMMYFUNCTION("SPLIT(C556,""_"")"),427.0)</f>
        <v>427</v>
      </c>
      <c r="F556" s="23" t="str">
        <f>IFERROR(__xludf.DUMMYFUNCTION("""COMPUTED_VALUE"""),"June")</f>
        <v>June</v>
      </c>
      <c r="G556" s="23">
        <f>IFERROR(__xludf.DUMMYFUNCTION("""COMPUTED_VALUE"""),20.0)</f>
        <v>20</v>
      </c>
      <c r="H556" s="23" t="str">
        <f>IFERROR(__xludf.DUMMYFUNCTION("""COMPUTED_VALUE"""),"ABC0023")</f>
        <v>ABC0023</v>
      </c>
      <c r="I556" s="23">
        <f t="shared" si="1"/>
        <v>427</v>
      </c>
      <c r="J556" s="23">
        <f>Vlookup(B556,Product_Tab!$A$2:$C$16,3,FALSE)</f>
        <v>795</v>
      </c>
      <c r="K556" s="23">
        <f t="shared" si="2"/>
        <v>339465</v>
      </c>
      <c r="L556" s="24">
        <f>Vlookup(D556,Customer_Tab!$A$2:$C$10,3,FALSE)</f>
        <v>0.15</v>
      </c>
      <c r="M556" s="23">
        <f t="shared" si="3"/>
        <v>50919.75</v>
      </c>
      <c r="N556" s="25">
        <f t="shared" si="4"/>
        <v>288545.25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  <c r="E557" s="23">
        <f>IFERROR(__xludf.DUMMYFUNCTION("SPLIT(C557,""_"")"),351.0)</f>
        <v>351</v>
      </c>
      <c r="F557" s="23" t="str">
        <f>IFERROR(__xludf.DUMMYFUNCTION("""COMPUTED_VALUE"""),"June")</f>
        <v>June</v>
      </c>
      <c r="G557" s="23">
        <f>IFERROR(__xludf.DUMMYFUNCTION("""COMPUTED_VALUE"""),27.0)</f>
        <v>27</v>
      </c>
      <c r="H557" s="23" t="str">
        <f>IFERROR(__xludf.DUMMYFUNCTION("""COMPUTED_VALUE"""),"ABC0023")</f>
        <v>ABC0023</v>
      </c>
      <c r="I557" s="23">
        <f t="shared" si="1"/>
        <v>351</v>
      </c>
      <c r="J557" s="23">
        <f>Vlookup(B557,Product_Tab!$A$2:$C$16,3,FALSE)</f>
        <v>652</v>
      </c>
      <c r="K557" s="23">
        <f t="shared" si="2"/>
        <v>228852</v>
      </c>
      <c r="L557" s="24">
        <f>Vlookup(D557,Customer_Tab!$A$2:$C$10,3,FALSE)</f>
        <v>0.15</v>
      </c>
      <c r="M557" s="23">
        <f t="shared" si="3"/>
        <v>34327.8</v>
      </c>
      <c r="N557" s="25">
        <f t="shared" si="4"/>
        <v>194524.2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  <c r="E558" s="23">
        <f>IFERROR(__xludf.DUMMYFUNCTION("SPLIT(C558,""_"")"),493.0)</f>
        <v>493</v>
      </c>
      <c r="F558" s="23" t="str">
        <f>IFERROR(__xludf.DUMMYFUNCTION("""COMPUTED_VALUE"""),"June")</f>
        <v>June</v>
      </c>
      <c r="G558" s="23">
        <f>IFERROR(__xludf.DUMMYFUNCTION("""COMPUTED_VALUE"""),23.0)</f>
        <v>23</v>
      </c>
      <c r="H558" s="23" t="str">
        <f>IFERROR(__xludf.DUMMYFUNCTION("""COMPUTED_VALUE"""),"ABC0024")</f>
        <v>ABC0024</v>
      </c>
      <c r="I558" s="23">
        <f t="shared" si="1"/>
        <v>493</v>
      </c>
      <c r="J558" s="23">
        <f>Vlookup(B558,Product_Tab!$A$2:$C$16,3,FALSE)</f>
        <v>378</v>
      </c>
      <c r="K558" s="23">
        <f t="shared" si="2"/>
        <v>186354</v>
      </c>
      <c r="L558" s="24">
        <f>Vlookup(D558,Customer_Tab!$A$2:$C$10,3,FALSE)</f>
        <v>0.18</v>
      </c>
      <c r="M558" s="23">
        <f t="shared" si="3"/>
        <v>33543.72</v>
      </c>
      <c r="N558" s="25">
        <f t="shared" si="4"/>
        <v>152810.28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  <c r="E559" s="23">
        <f>IFERROR(__xludf.DUMMYFUNCTION("SPLIT(C559,""_"")"),365.0)</f>
        <v>365</v>
      </c>
      <c r="F559" s="23" t="str">
        <f>IFERROR(__xludf.DUMMYFUNCTION("""COMPUTED_VALUE"""),"June")</f>
        <v>June</v>
      </c>
      <c r="G559" s="23">
        <f>IFERROR(__xludf.DUMMYFUNCTION("""COMPUTED_VALUE"""),21.0)</f>
        <v>21</v>
      </c>
      <c r="H559" s="23" t="str">
        <f>IFERROR(__xludf.DUMMYFUNCTION("""COMPUTED_VALUE"""),"ABC0025")</f>
        <v>ABC0025</v>
      </c>
      <c r="I559" s="23">
        <f t="shared" si="1"/>
        <v>365</v>
      </c>
      <c r="J559" s="23">
        <f>Vlookup(B559,Product_Tab!$A$2:$C$16,3,FALSE)</f>
        <v>545</v>
      </c>
      <c r="K559" s="23">
        <f t="shared" si="2"/>
        <v>198925</v>
      </c>
      <c r="L559" s="24">
        <f>Vlookup(D559,Customer_Tab!$A$2:$C$10,3,FALSE)</f>
        <v>0.18</v>
      </c>
      <c r="M559" s="23">
        <f t="shared" si="3"/>
        <v>35806.5</v>
      </c>
      <c r="N559" s="25">
        <f t="shared" si="4"/>
        <v>163118.5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  <c r="E560" s="23">
        <f>IFERROR(__xludf.DUMMYFUNCTION("SPLIT(C560,""_"")"),243.0)</f>
        <v>243</v>
      </c>
      <c r="F560" s="23" t="str">
        <f>IFERROR(__xludf.DUMMYFUNCTION("""COMPUTED_VALUE"""),"June")</f>
        <v>June</v>
      </c>
      <c r="G560" s="23">
        <f>IFERROR(__xludf.DUMMYFUNCTION("""COMPUTED_VALUE"""),26.0)</f>
        <v>26</v>
      </c>
      <c r="H560" s="23" t="str">
        <f>IFERROR(__xludf.DUMMYFUNCTION("""COMPUTED_VALUE"""),"ABC0026")</f>
        <v>ABC0026</v>
      </c>
      <c r="I560" s="23">
        <f t="shared" si="1"/>
        <v>243</v>
      </c>
      <c r="J560" s="23">
        <f>Vlookup(B560,Product_Tab!$A$2:$C$16,3,FALSE)</f>
        <v>203</v>
      </c>
      <c r="K560" s="23">
        <f t="shared" si="2"/>
        <v>49329</v>
      </c>
      <c r="L560" s="24">
        <f>Vlookup(D560,Customer_Tab!$A$2:$C$10,3,FALSE)</f>
        <v>0.1</v>
      </c>
      <c r="M560" s="23">
        <f t="shared" si="3"/>
        <v>4932.9</v>
      </c>
      <c r="N560" s="25">
        <f t="shared" si="4"/>
        <v>44396.1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  <c r="E561" s="23">
        <f>IFERROR(__xludf.DUMMYFUNCTION("SPLIT(C561,""_"")"),383.0)</f>
        <v>383</v>
      </c>
      <c r="F561" s="23" t="str">
        <f>IFERROR(__xludf.DUMMYFUNCTION("""COMPUTED_VALUE"""),"June")</f>
        <v>June</v>
      </c>
      <c r="G561" s="23">
        <f>IFERROR(__xludf.DUMMYFUNCTION("""COMPUTED_VALUE"""),23.0)</f>
        <v>23</v>
      </c>
      <c r="H561" s="23" t="str">
        <f>IFERROR(__xludf.DUMMYFUNCTION("""COMPUTED_VALUE"""),"ABC0027")</f>
        <v>ABC0027</v>
      </c>
      <c r="I561" s="23">
        <f t="shared" si="1"/>
        <v>383</v>
      </c>
      <c r="J561" s="23">
        <f>Vlookup(B561,Product_Tab!$A$2:$C$16,3,FALSE)</f>
        <v>131</v>
      </c>
      <c r="K561" s="23">
        <f t="shared" si="2"/>
        <v>50173</v>
      </c>
      <c r="L561" s="24">
        <f>Vlookup(D561,Customer_Tab!$A$2:$C$10,3,FALSE)</f>
        <v>0.1</v>
      </c>
      <c r="M561" s="23">
        <f t="shared" si="3"/>
        <v>5017.3</v>
      </c>
      <c r="N561" s="25">
        <f t="shared" si="4"/>
        <v>45155.7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  <c r="E562" s="23">
        <f>IFERROR(__xludf.DUMMYFUNCTION("SPLIT(C562,""_"")"),305.0)</f>
        <v>305</v>
      </c>
      <c r="F562" s="23" t="str">
        <f>IFERROR(__xludf.DUMMYFUNCTION("""COMPUTED_VALUE"""),"June")</f>
        <v>June</v>
      </c>
      <c r="G562" s="23">
        <f>IFERROR(__xludf.DUMMYFUNCTION("""COMPUTED_VALUE"""),3.0)</f>
        <v>3</v>
      </c>
      <c r="H562" s="23" t="str">
        <f>IFERROR(__xludf.DUMMYFUNCTION("""COMPUTED_VALUE"""),"ABC0028")</f>
        <v>ABC0028</v>
      </c>
      <c r="I562" s="23">
        <f t="shared" si="1"/>
        <v>305</v>
      </c>
      <c r="J562" s="23">
        <f>Vlookup(B562,Product_Tab!$A$2:$C$16,3,FALSE)</f>
        <v>50</v>
      </c>
      <c r="K562" s="23">
        <f t="shared" si="2"/>
        <v>15250</v>
      </c>
      <c r="L562" s="24">
        <f>Vlookup(D562,Customer_Tab!$A$2:$C$10,3,FALSE)</f>
        <v>0.15</v>
      </c>
      <c r="M562" s="23">
        <f t="shared" si="3"/>
        <v>2287.5</v>
      </c>
      <c r="N562" s="25">
        <f t="shared" si="4"/>
        <v>12962.5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  <c r="E563" s="23">
        <f>IFERROR(__xludf.DUMMYFUNCTION("SPLIT(C563,""_"")"),494.0)</f>
        <v>494</v>
      </c>
      <c r="F563" s="23" t="str">
        <f>IFERROR(__xludf.DUMMYFUNCTION("""COMPUTED_VALUE"""),"June")</f>
        <v>June</v>
      </c>
      <c r="G563" s="23">
        <f>IFERROR(__xludf.DUMMYFUNCTION("""COMPUTED_VALUE"""),24.0)</f>
        <v>24</v>
      </c>
      <c r="H563" s="23" t="str">
        <f>IFERROR(__xludf.DUMMYFUNCTION("""COMPUTED_VALUE"""),"ABC0029")</f>
        <v>ABC0029</v>
      </c>
      <c r="I563" s="23">
        <f t="shared" si="1"/>
        <v>494</v>
      </c>
      <c r="J563" s="23">
        <f>Vlookup(B563,Product_Tab!$A$2:$C$16,3,FALSE)</f>
        <v>76</v>
      </c>
      <c r="K563" s="23">
        <f t="shared" si="2"/>
        <v>37544</v>
      </c>
      <c r="L563" s="24">
        <f>Vlookup(D563,Customer_Tab!$A$2:$C$10,3,FALSE)</f>
        <v>0.15</v>
      </c>
      <c r="M563" s="23">
        <f t="shared" si="3"/>
        <v>5631.6</v>
      </c>
      <c r="N563" s="25">
        <f t="shared" si="4"/>
        <v>31912.4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  <c r="E564" s="23">
        <f>IFERROR(__xludf.DUMMYFUNCTION("SPLIT(C564,""_"")"),288.0)</f>
        <v>288</v>
      </c>
      <c r="F564" s="23" t="str">
        <f>IFERROR(__xludf.DUMMYFUNCTION("""COMPUTED_VALUE"""),"June")</f>
        <v>June</v>
      </c>
      <c r="G564" s="23">
        <f>IFERROR(__xludf.DUMMYFUNCTION("""COMPUTED_VALUE"""),23.0)</f>
        <v>23</v>
      </c>
      <c r="H564" s="23" t="str">
        <f>IFERROR(__xludf.DUMMYFUNCTION("""COMPUTED_VALUE"""),"ABC0030")</f>
        <v>ABC0030</v>
      </c>
      <c r="I564" s="23">
        <f t="shared" si="1"/>
        <v>288</v>
      </c>
      <c r="J564" s="23">
        <f>Vlookup(B564,Product_Tab!$A$2:$C$16,3,FALSE)</f>
        <v>659</v>
      </c>
      <c r="K564" s="23">
        <f t="shared" si="2"/>
        <v>189792</v>
      </c>
      <c r="L564" s="24">
        <f>Vlookup(D564,Customer_Tab!$A$2:$C$10,3,FALSE)</f>
        <v>0.18</v>
      </c>
      <c r="M564" s="23">
        <f t="shared" si="3"/>
        <v>34162.56</v>
      </c>
      <c r="N564" s="25">
        <f t="shared" si="4"/>
        <v>155629.44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  <c r="E565" s="23">
        <f>IFERROR(__xludf.DUMMYFUNCTION("SPLIT(C565,""_"")"),325.0)</f>
        <v>325</v>
      </c>
      <c r="F565" s="23" t="str">
        <f>IFERROR(__xludf.DUMMYFUNCTION("""COMPUTED_VALUE"""),"June")</f>
        <v>June</v>
      </c>
      <c r="G565" s="23">
        <f>IFERROR(__xludf.DUMMYFUNCTION("""COMPUTED_VALUE"""),14.0)</f>
        <v>14</v>
      </c>
      <c r="H565" s="23" t="str">
        <f>IFERROR(__xludf.DUMMYFUNCTION("""COMPUTED_VALUE"""),"ABC0031")</f>
        <v>ABC0031</v>
      </c>
      <c r="I565" s="23">
        <f t="shared" si="1"/>
        <v>325</v>
      </c>
      <c r="J565" s="23">
        <f>Vlookup(B565,Product_Tab!$A$2:$C$16,3,FALSE)</f>
        <v>286</v>
      </c>
      <c r="K565" s="23">
        <f t="shared" si="2"/>
        <v>92950</v>
      </c>
      <c r="L565" s="24">
        <f>Vlookup(D565,Customer_Tab!$A$2:$C$10,3,FALSE)</f>
        <v>0.18</v>
      </c>
      <c r="M565" s="23">
        <f t="shared" si="3"/>
        <v>16731</v>
      </c>
      <c r="N565" s="25">
        <f t="shared" si="4"/>
        <v>76219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  <c r="E566" s="23">
        <f>IFERROR(__xludf.DUMMYFUNCTION("SPLIT(C566,""_"")"),418.0)</f>
        <v>418</v>
      </c>
      <c r="F566" s="23" t="str">
        <f>IFERROR(__xludf.DUMMYFUNCTION("""COMPUTED_VALUE"""),"June")</f>
        <v>June</v>
      </c>
      <c r="G566" s="23">
        <f>IFERROR(__xludf.DUMMYFUNCTION("""COMPUTED_VALUE"""),30.0)</f>
        <v>30</v>
      </c>
      <c r="H566" s="23" t="str">
        <f>IFERROR(__xludf.DUMMYFUNCTION("""COMPUTED_VALUE"""),"ABC0023")</f>
        <v>ABC0023</v>
      </c>
      <c r="I566" s="23">
        <f t="shared" si="1"/>
        <v>418</v>
      </c>
      <c r="J566" s="23">
        <f>Vlookup(B566,Product_Tab!$A$2:$C$16,3,FALSE)</f>
        <v>223</v>
      </c>
      <c r="K566" s="23">
        <f t="shared" si="2"/>
        <v>93214</v>
      </c>
      <c r="L566" s="24">
        <f>Vlookup(D566,Customer_Tab!$A$2:$C$10,3,FALSE)</f>
        <v>0.1</v>
      </c>
      <c r="M566" s="23">
        <f t="shared" si="3"/>
        <v>9321.4</v>
      </c>
      <c r="N566" s="25">
        <f t="shared" si="4"/>
        <v>83892.6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  <c r="E567" s="23">
        <f>IFERROR(__xludf.DUMMYFUNCTION("SPLIT(C567,""_"")"),230.0)</f>
        <v>230</v>
      </c>
      <c r="F567" s="23" t="str">
        <f>IFERROR(__xludf.DUMMYFUNCTION("""COMPUTED_VALUE"""),"June")</f>
        <v>June</v>
      </c>
      <c r="G567" s="23">
        <f>IFERROR(__xludf.DUMMYFUNCTION("""COMPUTED_VALUE"""),14.0)</f>
        <v>14</v>
      </c>
      <c r="H567" s="23" t="str">
        <f>IFERROR(__xludf.DUMMYFUNCTION("""COMPUTED_VALUE"""),"ABC0024")</f>
        <v>ABC0024</v>
      </c>
      <c r="I567" s="23">
        <f t="shared" si="1"/>
        <v>230</v>
      </c>
      <c r="J567" s="23">
        <f>Vlookup(B567,Product_Tab!$A$2:$C$16,3,FALSE)</f>
        <v>721</v>
      </c>
      <c r="K567" s="23">
        <f t="shared" si="2"/>
        <v>165830</v>
      </c>
      <c r="L567" s="24">
        <f>Vlookup(D567,Customer_Tab!$A$2:$C$10,3,FALSE)</f>
        <v>0.1</v>
      </c>
      <c r="M567" s="23">
        <f t="shared" si="3"/>
        <v>16583</v>
      </c>
      <c r="N567" s="25">
        <f t="shared" si="4"/>
        <v>149247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  <c r="E568" s="23">
        <f>IFERROR(__xludf.DUMMYFUNCTION("SPLIT(C568,""_"")"),261.0)</f>
        <v>261</v>
      </c>
      <c r="F568" s="23" t="str">
        <f>IFERROR(__xludf.DUMMYFUNCTION("""COMPUTED_VALUE"""),"June")</f>
        <v>June</v>
      </c>
      <c r="G568" s="23">
        <f>IFERROR(__xludf.DUMMYFUNCTION("""COMPUTED_VALUE"""),22.0)</f>
        <v>22</v>
      </c>
      <c r="H568" s="23" t="str">
        <f>IFERROR(__xludf.DUMMYFUNCTION("""COMPUTED_VALUE"""),"ABC0025")</f>
        <v>ABC0025</v>
      </c>
      <c r="I568" s="23">
        <f t="shared" si="1"/>
        <v>261</v>
      </c>
      <c r="J568" s="23">
        <f>Vlookup(B568,Product_Tab!$A$2:$C$16,3,FALSE)</f>
        <v>273</v>
      </c>
      <c r="K568" s="23">
        <f t="shared" si="2"/>
        <v>71253</v>
      </c>
      <c r="L568" s="24">
        <f>Vlookup(D568,Customer_Tab!$A$2:$C$10,3,FALSE)</f>
        <v>0.15</v>
      </c>
      <c r="M568" s="23">
        <f t="shared" si="3"/>
        <v>10687.95</v>
      </c>
      <c r="N568" s="25">
        <f t="shared" si="4"/>
        <v>60565.05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  <c r="E569" s="23">
        <f>IFERROR(__xludf.DUMMYFUNCTION("SPLIT(C569,""_"")"),365.0)</f>
        <v>365</v>
      </c>
      <c r="F569" s="23" t="str">
        <f>IFERROR(__xludf.DUMMYFUNCTION("""COMPUTED_VALUE"""),"June")</f>
        <v>June</v>
      </c>
      <c r="G569" s="23">
        <f>IFERROR(__xludf.DUMMYFUNCTION("""COMPUTED_VALUE"""),15.0)</f>
        <v>15</v>
      </c>
      <c r="H569" s="23" t="str">
        <f>IFERROR(__xludf.DUMMYFUNCTION("""COMPUTED_VALUE"""),"ABC0026")</f>
        <v>ABC0026</v>
      </c>
      <c r="I569" s="23">
        <f t="shared" si="1"/>
        <v>365</v>
      </c>
      <c r="J569" s="23">
        <f>Vlookup(B569,Product_Tab!$A$2:$C$16,3,FALSE)</f>
        <v>151</v>
      </c>
      <c r="K569" s="23">
        <f t="shared" si="2"/>
        <v>55115</v>
      </c>
      <c r="L569" s="24">
        <f>Vlookup(D569,Customer_Tab!$A$2:$C$10,3,FALSE)</f>
        <v>0.1</v>
      </c>
      <c r="M569" s="23">
        <f t="shared" si="3"/>
        <v>5511.5</v>
      </c>
      <c r="N569" s="25">
        <f t="shared" si="4"/>
        <v>49603.5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  <c r="E570" s="23">
        <f>IFERROR(__xludf.DUMMYFUNCTION("SPLIT(C570,""_"")"),451.0)</f>
        <v>451</v>
      </c>
      <c r="F570" s="23" t="str">
        <f>IFERROR(__xludf.DUMMYFUNCTION("""COMPUTED_VALUE"""),"June")</f>
        <v>June</v>
      </c>
      <c r="G570" s="23">
        <f>IFERROR(__xludf.DUMMYFUNCTION("""COMPUTED_VALUE"""),21.0)</f>
        <v>21</v>
      </c>
      <c r="H570" s="23" t="str">
        <f>IFERROR(__xludf.DUMMYFUNCTION("""COMPUTED_VALUE"""),"ABC0027")</f>
        <v>ABC0027</v>
      </c>
      <c r="I570" s="23">
        <f t="shared" si="1"/>
        <v>451</v>
      </c>
      <c r="J570" s="23">
        <f>Vlookup(B570,Product_Tab!$A$2:$C$16,3,FALSE)</f>
        <v>421</v>
      </c>
      <c r="K570" s="23">
        <f t="shared" si="2"/>
        <v>189871</v>
      </c>
      <c r="L570" s="24">
        <f>Vlookup(D570,Customer_Tab!$A$2:$C$10,3,FALSE)</f>
        <v>0.1</v>
      </c>
      <c r="M570" s="23">
        <f t="shared" si="3"/>
        <v>18987.1</v>
      </c>
      <c r="N570" s="25">
        <f t="shared" si="4"/>
        <v>170883.9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  <c r="E571" s="23">
        <f>IFERROR(__xludf.DUMMYFUNCTION("SPLIT(C571,""_"")"),329.0)</f>
        <v>329</v>
      </c>
      <c r="F571" s="23" t="str">
        <f>IFERROR(__xludf.DUMMYFUNCTION("""COMPUTED_VALUE"""),"June")</f>
        <v>June</v>
      </c>
      <c r="G571" s="23">
        <f>IFERROR(__xludf.DUMMYFUNCTION("""COMPUTED_VALUE"""),17.0)</f>
        <v>17</v>
      </c>
      <c r="H571" s="23" t="str">
        <f>IFERROR(__xludf.DUMMYFUNCTION("""COMPUTED_VALUE"""),"ABC0028")</f>
        <v>ABC0028</v>
      </c>
      <c r="I571" s="23">
        <f t="shared" si="1"/>
        <v>329</v>
      </c>
      <c r="J571" s="23">
        <f>Vlookup(B571,Product_Tab!$A$2:$C$16,3,FALSE)</f>
        <v>795</v>
      </c>
      <c r="K571" s="23">
        <f t="shared" si="2"/>
        <v>261555</v>
      </c>
      <c r="L571" s="24">
        <f>Vlookup(D571,Customer_Tab!$A$2:$C$10,3,FALSE)</f>
        <v>0.15</v>
      </c>
      <c r="M571" s="23">
        <f t="shared" si="3"/>
        <v>39233.25</v>
      </c>
      <c r="N571" s="25">
        <f t="shared" si="4"/>
        <v>222321.75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  <c r="E572" s="23">
        <f>IFERROR(__xludf.DUMMYFUNCTION("SPLIT(C572,""_"")"),411.0)</f>
        <v>411</v>
      </c>
      <c r="F572" s="23" t="str">
        <f>IFERROR(__xludf.DUMMYFUNCTION("""COMPUTED_VALUE"""),"June")</f>
        <v>June</v>
      </c>
      <c r="G572" s="23">
        <f>IFERROR(__xludf.DUMMYFUNCTION("""COMPUTED_VALUE"""),19.0)</f>
        <v>19</v>
      </c>
      <c r="H572" s="23" t="str">
        <f>IFERROR(__xludf.DUMMYFUNCTION("""COMPUTED_VALUE"""),"ABC0031")</f>
        <v>ABC0031</v>
      </c>
      <c r="I572" s="23">
        <f t="shared" si="1"/>
        <v>411</v>
      </c>
      <c r="J572" s="23">
        <f>Vlookup(B572,Product_Tab!$A$2:$C$16,3,FALSE)</f>
        <v>151</v>
      </c>
      <c r="K572" s="23">
        <f t="shared" si="2"/>
        <v>62061</v>
      </c>
      <c r="L572" s="24">
        <f>Vlookup(D572,Customer_Tab!$A$2:$C$10,3,FALSE)</f>
        <v>0.18</v>
      </c>
      <c r="M572" s="23">
        <f t="shared" si="3"/>
        <v>11170.98</v>
      </c>
      <c r="N572" s="25">
        <f t="shared" si="4"/>
        <v>50890.02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  <c r="E573" s="23">
        <f>IFERROR(__xludf.DUMMYFUNCTION("SPLIT(C573,""_"")"),405.0)</f>
        <v>405</v>
      </c>
      <c r="F573" s="23" t="str">
        <f>IFERROR(__xludf.DUMMYFUNCTION("""COMPUTED_VALUE"""),"June")</f>
        <v>June</v>
      </c>
      <c r="G573" s="23">
        <f>IFERROR(__xludf.DUMMYFUNCTION("""COMPUTED_VALUE"""),1.0)</f>
        <v>1</v>
      </c>
      <c r="H573" s="23" t="str">
        <f>IFERROR(__xludf.DUMMYFUNCTION("""COMPUTED_VALUE"""),"ABC0023")</f>
        <v>ABC0023</v>
      </c>
      <c r="I573" s="23">
        <f t="shared" si="1"/>
        <v>405</v>
      </c>
      <c r="J573" s="23">
        <f>Vlookup(B573,Product_Tab!$A$2:$C$16,3,FALSE)</f>
        <v>421</v>
      </c>
      <c r="K573" s="23">
        <f t="shared" si="2"/>
        <v>170505</v>
      </c>
      <c r="L573" s="24">
        <f>Vlookup(D573,Customer_Tab!$A$2:$C$10,3,FALSE)</f>
        <v>0.1</v>
      </c>
      <c r="M573" s="23">
        <f t="shared" si="3"/>
        <v>17050.5</v>
      </c>
      <c r="N573" s="25">
        <f t="shared" si="4"/>
        <v>153454.5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  <c r="E574" s="23">
        <f>IFERROR(__xludf.DUMMYFUNCTION("SPLIT(C574,""_"")"),490.0)</f>
        <v>490</v>
      </c>
      <c r="F574" s="23" t="str">
        <f>IFERROR(__xludf.DUMMYFUNCTION("""COMPUTED_VALUE"""),"June")</f>
        <v>June</v>
      </c>
      <c r="G574" s="23">
        <f>IFERROR(__xludf.DUMMYFUNCTION("""COMPUTED_VALUE"""),10.0)</f>
        <v>10</v>
      </c>
      <c r="H574" s="23" t="str">
        <f>IFERROR(__xludf.DUMMYFUNCTION("""COMPUTED_VALUE"""),"ABC0024")</f>
        <v>ABC0024</v>
      </c>
      <c r="I574" s="23">
        <f t="shared" si="1"/>
        <v>490</v>
      </c>
      <c r="J574" s="23">
        <f>Vlookup(B574,Product_Tab!$A$2:$C$16,3,FALSE)</f>
        <v>795</v>
      </c>
      <c r="K574" s="23">
        <f t="shared" si="2"/>
        <v>389550</v>
      </c>
      <c r="L574" s="24">
        <f>Vlookup(D574,Customer_Tab!$A$2:$C$10,3,FALSE)</f>
        <v>0.15</v>
      </c>
      <c r="M574" s="23">
        <f t="shared" si="3"/>
        <v>58432.5</v>
      </c>
      <c r="N574" s="25">
        <f t="shared" si="4"/>
        <v>331117.5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  <c r="E575" s="23">
        <f>IFERROR(__xludf.DUMMYFUNCTION("SPLIT(C575,""_"")"),221.0)</f>
        <v>221</v>
      </c>
      <c r="F575" s="23" t="str">
        <f>IFERROR(__xludf.DUMMYFUNCTION("""COMPUTED_VALUE"""),"June")</f>
        <v>June</v>
      </c>
      <c r="G575" s="23">
        <f>IFERROR(__xludf.DUMMYFUNCTION("""COMPUTED_VALUE"""),6.0)</f>
        <v>6</v>
      </c>
      <c r="H575" s="23" t="str">
        <f>IFERROR(__xludf.DUMMYFUNCTION("""COMPUTED_VALUE"""),"ABC0025")</f>
        <v>ABC0025</v>
      </c>
      <c r="I575" s="23">
        <f t="shared" si="1"/>
        <v>221</v>
      </c>
      <c r="J575" s="23">
        <f>Vlookup(B575,Product_Tab!$A$2:$C$16,3,FALSE)</f>
        <v>652</v>
      </c>
      <c r="K575" s="23">
        <f t="shared" si="2"/>
        <v>144092</v>
      </c>
      <c r="L575" s="24">
        <f>Vlookup(D575,Customer_Tab!$A$2:$C$10,3,FALSE)</f>
        <v>0.15</v>
      </c>
      <c r="M575" s="23">
        <f t="shared" si="3"/>
        <v>21613.8</v>
      </c>
      <c r="N575" s="25">
        <f t="shared" si="4"/>
        <v>122478.2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  <c r="E576" s="23">
        <f>IFERROR(__xludf.DUMMYFUNCTION("SPLIT(C576,""_"")"),247.0)</f>
        <v>247</v>
      </c>
      <c r="F576" s="23" t="str">
        <f>IFERROR(__xludf.DUMMYFUNCTION("""COMPUTED_VALUE"""),"June")</f>
        <v>June</v>
      </c>
      <c r="G576" s="23">
        <f>IFERROR(__xludf.DUMMYFUNCTION("""COMPUTED_VALUE"""),8.0)</f>
        <v>8</v>
      </c>
      <c r="H576" s="23" t="str">
        <f>IFERROR(__xludf.DUMMYFUNCTION("""COMPUTED_VALUE"""),"ABC0026")</f>
        <v>ABC0026</v>
      </c>
      <c r="I576" s="23">
        <f t="shared" si="1"/>
        <v>247</v>
      </c>
      <c r="J576" s="23">
        <f>Vlookup(B576,Product_Tab!$A$2:$C$16,3,FALSE)</f>
        <v>378</v>
      </c>
      <c r="K576" s="23">
        <f t="shared" si="2"/>
        <v>93366</v>
      </c>
      <c r="L576" s="24">
        <f>Vlookup(D576,Customer_Tab!$A$2:$C$10,3,FALSE)</f>
        <v>0.18</v>
      </c>
      <c r="M576" s="23">
        <f t="shared" si="3"/>
        <v>16805.88</v>
      </c>
      <c r="N576" s="25">
        <f t="shared" si="4"/>
        <v>76560.12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  <c r="E577" s="23">
        <f>IFERROR(__xludf.DUMMYFUNCTION("SPLIT(C577,""_"")"),373.0)</f>
        <v>373</v>
      </c>
      <c r="F577" s="23" t="str">
        <f>IFERROR(__xludf.DUMMYFUNCTION("""COMPUTED_VALUE"""),"June")</f>
        <v>June</v>
      </c>
      <c r="G577" s="23">
        <f>IFERROR(__xludf.DUMMYFUNCTION("""COMPUTED_VALUE"""),4.0)</f>
        <v>4</v>
      </c>
      <c r="H577" s="23" t="str">
        <f>IFERROR(__xludf.DUMMYFUNCTION("""COMPUTED_VALUE"""),"ABC0027")</f>
        <v>ABC0027</v>
      </c>
      <c r="I577" s="23">
        <f t="shared" si="1"/>
        <v>373</v>
      </c>
      <c r="J577" s="23">
        <f>Vlookup(B577,Product_Tab!$A$2:$C$16,3,FALSE)</f>
        <v>545</v>
      </c>
      <c r="K577" s="23">
        <f t="shared" si="2"/>
        <v>203285</v>
      </c>
      <c r="L577" s="24">
        <f>Vlookup(D577,Customer_Tab!$A$2:$C$10,3,FALSE)</f>
        <v>0.18</v>
      </c>
      <c r="M577" s="23">
        <f t="shared" si="3"/>
        <v>36591.3</v>
      </c>
      <c r="N577" s="25">
        <f t="shared" si="4"/>
        <v>166693.7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  <c r="E578" s="23">
        <f>IFERROR(__xludf.DUMMYFUNCTION("SPLIT(C578,""_"")"),392.0)</f>
        <v>392</v>
      </c>
      <c r="F578" s="23" t="str">
        <f>IFERROR(__xludf.DUMMYFUNCTION("""COMPUTED_VALUE"""),"June")</f>
        <v>June</v>
      </c>
      <c r="G578" s="23">
        <f>IFERROR(__xludf.DUMMYFUNCTION("""COMPUTED_VALUE"""),13.0)</f>
        <v>13</v>
      </c>
      <c r="H578" s="23" t="str">
        <f>IFERROR(__xludf.DUMMYFUNCTION("""COMPUTED_VALUE"""),"ABC0028")</f>
        <v>ABC0028</v>
      </c>
      <c r="I578" s="23">
        <f t="shared" si="1"/>
        <v>392</v>
      </c>
      <c r="J578" s="23">
        <f>Vlookup(B578,Product_Tab!$A$2:$C$16,3,FALSE)</f>
        <v>203</v>
      </c>
      <c r="K578" s="23">
        <f t="shared" si="2"/>
        <v>79576</v>
      </c>
      <c r="L578" s="24">
        <f>Vlookup(D578,Customer_Tab!$A$2:$C$10,3,FALSE)</f>
        <v>0.1</v>
      </c>
      <c r="M578" s="23">
        <f t="shared" si="3"/>
        <v>7957.6</v>
      </c>
      <c r="N578" s="25">
        <f t="shared" si="4"/>
        <v>71618.4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  <c r="E579" s="23">
        <f>IFERROR(__xludf.DUMMYFUNCTION("SPLIT(C579,""_"")"),239.0)</f>
        <v>239</v>
      </c>
      <c r="F579" s="23" t="str">
        <f>IFERROR(__xludf.DUMMYFUNCTION("""COMPUTED_VALUE"""),"June")</f>
        <v>June</v>
      </c>
      <c r="G579" s="23">
        <f>IFERROR(__xludf.DUMMYFUNCTION("""COMPUTED_VALUE"""),18.0)</f>
        <v>18</v>
      </c>
      <c r="H579" s="23" t="str">
        <f>IFERROR(__xludf.DUMMYFUNCTION("""COMPUTED_VALUE"""),"ABC0031")</f>
        <v>ABC0031</v>
      </c>
      <c r="I579" s="23">
        <f t="shared" si="1"/>
        <v>239</v>
      </c>
      <c r="J579" s="23">
        <f>Vlookup(B579,Product_Tab!$A$2:$C$16,3,FALSE)</f>
        <v>131</v>
      </c>
      <c r="K579" s="23">
        <f t="shared" si="2"/>
        <v>31309</v>
      </c>
      <c r="L579" s="24">
        <f>Vlookup(D579,Customer_Tab!$A$2:$C$10,3,FALSE)</f>
        <v>0.1</v>
      </c>
      <c r="M579" s="23">
        <f t="shared" si="3"/>
        <v>3130.9</v>
      </c>
      <c r="N579" s="25">
        <f t="shared" si="4"/>
        <v>28178.1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  <c r="E580" s="23">
        <f>IFERROR(__xludf.DUMMYFUNCTION("SPLIT(C580,""_"")"),215.0)</f>
        <v>215</v>
      </c>
      <c r="F580" s="23" t="str">
        <f>IFERROR(__xludf.DUMMYFUNCTION("""COMPUTED_VALUE"""),"June")</f>
        <v>June</v>
      </c>
      <c r="G580" s="23">
        <f>IFERROR(__xludf.DUMMYFUNCTION("""COMPUTED_VALUE"""),5.0)</f>
        <v>5</v>
      </c>
      <c r="H580" s="23" t="str">
        <f>IFERROR(__xludf.DUMMYFUNCTION("""COMPUTED_VALUE"""),"ABC0023")</f>
        <v>ABC0023</v>
      </c>
      <c r="I580" s="23">
        <f t="shared" si="1"/>
        <v>215</v>
      </c>
      <c r="J580" s="23">
        <f>Vlookup(B580,Product_Tab!$A$2:$C$16,3,FALSE)</f>
        <v>50</v>
      </c>
      <c r="K580" s="23">
        <f t="shared" si="2"/>
        <v>10750</v>
      </c>
      <c r="L580" s="24">
        <f>Vlookup(D580,Customer_Tab!$A$2:$C$10,3,FALSE)</f>
        <v>0.15</v>
      </c>
      <c r="M580" s="23">
        <f t="shared" si="3"/>
        <v>1612.5</v>
      </c>
      <c r="N580" s="25">
        <f t="shared" si="4"/>
        <v>9137.5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  <c r="E581" s="23">
        <f>IFERROR(__xludf.DUMMYFUNCTION("SPLIT(C581,""_"")"),465.0)</f>
        <v>465</v>
      </c>
      <c r="F581" s="23" t="str">
        <f>IFERROR(__xludf.DUMMYFUNCTION("""COMPUTED_VALUE"""),"June")</f>
        <v>June</v>
      </c>
      <c r="G581" s="23">
        <f>IFERROR(__xludf.DUMMYFUNCTION("""COMPUTED_VALUE"""),20.0)</f>
        <v>20</v>
      </c>
      <c r="H581" s="23" t="str">
        <f>IFERROR(__xludf.DUMMYFUNCTION("""COMPUTED_VALUE"""),"ABC0024")</f>
        <v>ABC0024</v>
      </c>
      <c r="I581" s="23">
        <f t="shared" si="1"/>
        <v>465</v>
      </c>
      <c r="J581" s="23">
        <f>Vlookup(B581,Product_Tab!$A$2:$C$16,3,FALSE)</f>
        <v>76</v>
      </c>
      <c r="K581" s="23">
        <f t="shared" si="2"/>
        <v>35340</v>
      </c>
      <c r="L581" s="24">
        <f>Vlookup(D581,Customer_Tab!$A$2:$C$10,3,FALSE)</f>
        <v>0.15</v>
      </c>
      <c r="M581" s="23">
        <f t="shared" si="3"/>
        <v>5301</v>
      </c>
      <c r="N581" s="25">
        <f t="shared" si="4"/>
        <v>30039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  <c r="E582" s="23">
        <f>IFERROR(__xludf.DUMMYFUNCTION("SPLIT(C582,""_"")"),264.0)</f>
        <v>264</v>
      </c>
      <c r="F582" s="23" t="str">
        <f>IFERROR(__xludf.DUMMYFUNCTION("""COMPUTED_VALUE"""),"June")</f>
        <v>June</v>
      </c>
      <c r="G582" s="23">
        <f>IFERROR(__xludf.DUMMYFUNCTION("""COMPUTED_VALUE"""),1.0)</f>
        <v>1</v>
      </c>
      <c r="H582" s="23" t="str">
        <f>IFERROR(__xludf.DUMMYFUNCTION("""COMPUTED_VALUE"""),"ABC0025")</f>
        <v>ABC0025</v>
      </c>
      <c r="I582" s="23">
        <f t="shared" si="1"/>
        <v>264</v>
      </c>
      <c r="J582" s="23">
        <f>Vlookup(B582,Product_Tab!$A$2:$C$16,3,FALSE)</f>
        <v>659</v>
      </c>
      <c r="K582" s="23">
        <f t="shared" si="2"/>
        <v>173976</v>
      </c>
      <c r="L582" s="24">
        <f>Vlookup(D582,Customer_Tab!$A$2:$C$10,3,FALSE)</f>
        <v>0.18</v>
      </c>
      <c r="M582" s="23">
        <f t="shared" si="3"/>
        <v>31315.68</v>
      </c>
      <c r="N582" s="25">
        <f t="shared" si="4"/>
        <v>142660.32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  <c r="E583" s="23">
        <f>IFERROR(__xludf.DUMMYFUNCTION("SPLIT(C583,""_"")"),243.0)</f>
        <v>243</v>
      </c>
      <c r="F583" s="23" t="str">
        <f>IFERROR(__xludf.DUMMYFUNCTION("""COMPUTED_VALUE"""),"June")</f>
        <v>June</v>
      </c>
      <c r="G583" s="23">
        <f>IFERROR(__xludf.DUMMYFUNCTION("""COMPUTED_VALUE"""),13.0)</f>
        <v>13</v>
      </c>
      <c r="H583" s="23" t="str">
        <f>IFERROR(__xludf.DUMMYFUNCTION("""COMPUTED_VALUE"""),"ABC0026")</f>
        <v>ABC0026</v>
      </c>
      <c r="I583" s="23">
        <f t="shared" si="1"/>
        <v>243</v>
      </c>
      <c r="J583" s="23">
        <f>Vlookup(B583,Product_Tab!$A$2:$C$16,3,FALSE)</f>
        <v>286</v>
      </c>
      <c r="K583" s="23">
        <f t="shared" si="2"/>
        <v>69498</v>
      </c>
      <c r="L583" s="24">
        <f>Vlookup(D583,Customer_Tab!$A$2:$C$10,3,FALSE)</f>
        <v>0.1</v>
      </c>
      <c r="M583" s="23">
        <f t="shared" si="3"/>
        <v>6949.8</v>
      </c>
      <c r="N583" s="25">
        <f t="shared" si="4"/>
        <v>62548.2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  <c r="E584" s="23">
        <f>IFERROR(__xludf.DUMMYFUNCTION("SPLIT(C584,""_"")"),308.0)</f>
        <v>308</v>
      </c>
      <c r="F584" s="23" t="str">
        <f>IFERROR(__xludf.DUMMYFUNCTION("""COMPUTED_VALUE"""),"June")</f>
        <v>June</v>
      </c>
      <c r="G584" s="23">
        <f>IFERROR(__xludf.DUMMYFUNCTION("""COMPUTED_VALUE"""),20.0)</f>
        <v>20</v>
      </c>
      <c r="H584" s="23" t="str">
        <f>IFERROR(__xludf.DUMMYFUNCTION("""COMPUTED_VALUE"""),"ABC0027")</f>
        <v>ABC0027</v>
      </c>
      <c r="I584" s="23">
        <f t="shared" si="1"/>
        <v>308</v>
      </c>
      <c r="J584" s="23">
        <f>Vlookup(B584,Product_Tab!$A$2:$C$16,3,FALSE)</f>
        <v>223</v>
      </c>
      <c r="K584" s="23">
        <f t="shared" si="2"/>
        <v>68684</v>
      </c>
      <c r="L584" s="24">
        <f>Vlookup(D584,Customer_Tab!$A$2:$C$10,3,FALSE)</f>
        <v>0.15</v>
      </c>
      <c r="M584" s="23">
        <f t="shared" si="3"/>
        <v>10302.6</v>
      </c>
      <c r="N584" s="25">
        <f t="shared" si="4"/>
        <v>58381.4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  <c r="E585" s="23">
        <f>IFERROR(__xludf.DUMMYFUNCTION("SPLIT(C585,""_"")"),399.0)</f>
        <v>399</v>
      </c>
      <c r="F585" s="23" t="str">
        <f>IFERROR(__xludf.DUMMYFUNCTION("""COMPUTED_VALUE"""),"June")</f>
        <v>June</v>
      </c>
      <c r="G585" s="23">
        <f>IFERROR(__xludf.DUMMYFUNCTION("""COMPUTED_VALUE"""),8.0)</f>
        <v>8</v>
      </c>
      <c r="H585" s="23" t="str">
        <f>IFERROR(__xludf.DUMMYFUNCTION("""COMPUTED_VALUE"""),"ABC0028")</f>
        <v>ABC0028</v>
      </c>
      <c r="I585" s="23">
        <f t="shared" si="1"/>
        <v>399</v>
      </c>
      <c r="J585" s="23">
        <f>Vlookup(B585,Product_Tab!$A$2:$C$16,3,FALSE)</f>
        <v>721</v>
      </c>
      <c r="K585" s="23">
        <f t="shared" si="2"/>
        <v>287679</v>
      </c>
      <c r="L585" s="24">
        <f>Vlookup(D585,Customer_Tab!$A$2:$C$10,3,FALSE)</f>
        <v>0.15</v>
      </c>
      <c r="M585" s="23">
        <f t="shared" si="3"/>
        <v>43151.85</v>
      </c>
      <c r="N585" s="25">
        <f t="shared" si="4"/>
        <v>244527.15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  <c r="E586" s="23">
        <f>IFERROR(__xludf.DUMMYFUNCTION("SPLIT(C586,""_"")"),362.0)</f>
        <v>362</v>
      </c>
      <c r="F586" s="23" t="str">
        <f>IFERROR(__xludf.DUMMYFUNCTION("""COMPUTED_VALUE"""),"June")</f>
        <v>June</v>
      </c>
      <c r="G586" s="23">
        <f>IFERROR(__xludf.DUMMYFUNCTION("""COMPUTED_VALUE"""),1.0)</f>
        <v>1</v>
      </c>
      <c r="H586" s="23" t="str">
        <f>IFERROR(__xludf.DUMMYFUNCTION("""COMPUTED_VALUE"""),"ABC0031")</f>
        <v>ABC0031</v>
      </c>
      <c r="I586" s="23">
        <f t="shared" si="1"/>
        <v>362</v>
      </c>
      <c r="J586" s="23">
        <f>Vlookup(B586,Product_Tab!$A$2:$C$16,3,FALSE)</f>
        <v>273</v>
      </c>
      <c r="K586" s="23">
        <f t="shared" si="2"/>
        <v>98826</v>
      </c>
      <c r="L586" s="24">
        <f>Vlookup(D586,Customer_Tab!$A$2:$C$10,3,FALSE)</f>
        <v>0.18</v>
      </c>
      <c r="M586" s="23">
        <f t="shared" si="3"/>
        <v>17788.68</v>
      </c>
      <c r="N586" s="25">
        <f t="shared" si="4"/>
        <v>81037.32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  <c r="E587" s="23">
        <f>IFERROR(__xludf.DUMMYFUNCTION("SPLIT(C587,""_"")"),376.0)</f>
        <v>376</v>
      </c>
      <c r="F587" s="23" t="str">
        <f>IFERROR(__xludf.DUMMYFUNCTION("""COMPUTED_VALUE"""),"June")</f>
        <v>June</v>
      </c>
      <c r="G587" s="23">
        <f>IFERROR(__xludf.DUMMYFUNCTION("""COMPUTED_VALUE"""),14.0)</f>
        <v>14</v>
      </c>
      <c r="H587" s="23" t="str">
        <f>IFERROR(__xludf.DUMMYFUNCTION("""COMPUTED_VALUE"""),"ABC0023")</f>
        <v>ABC0023</v>
      </c>
      <c r="I587" s="23">
        <f t="shared" si="1"/>
        <v>376</v>
      </c>
      <c r="J587" s="23">
        <f>Vlookup(B587,Product_Tab!$A$2:$C$16,3,FALSE)</f>
        <v>151</v>
      </c>
      <c r="K587" s="23">
        <f t="shared" si="2"/>
        <v>56776</v>
      </c>
      <c r="L587" s="24">
        <f>Vlookup(D587,Customer_Tab!$A$2:$C$10,3,FALSE)</f>
        <v>0.18</v>
      </c>
      <c r="M587" s="23">
        <f t="shared" si="3"/>
        <v>10219.68</v>
      </c>
      <c r="N587" s="25">
        <f t="shared" si="4"/>
        <v>46556.32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  <c r="E588" s="23">
        <f>IFERROR(__xludf.DUMMYFUNCTION("SPLIT(C588,""_"")"),374.0)</f>
        <v>374</v>
      </c>
      <c r="F588" s="23" t="str">
        <f>IFERROR(__xludf.DUMMYFUNCTION("""COMPUTED_VALUE"""),"June")</f>
        <v>June</v>
      </c>
      <c r="G588" s="23">
        <f>IFERROR(__xludf.DUMMYFUNCTION("""COMPUTED_VALUE"""),30.0)</f>
        <v>30</v>
      </c>
      <c r="H588" s="23" t="str">
        <f>IFERROR(__xludf.DUMMYFUNCTION("""COMPUTED_VALUE"""),"ABC0024")</f>
        <v>ABC0024</v>
      </c>
      <c r="I588" s="23">
        <f t="shared" si="1"/>
        <v>374</v>
      </c>
      <c r="J588" s="23">
        <f>Vlookup(B588,Product_Tab!$A$2:$C$16,3,FALSE)</f>
        <v>421</v>
      </c>
      <c r="K588" s="23">
        <f t="shared" si="2"/>
        <v>157454</v>
      </c>
      <c r="L588" s="24">
        <f>Vlookup(D588,Customer_Tab!$A$2:$C$10,3,FALSE)</f>
        <v>0.1</v>
      </c>
      <c r="M588" s="23">
        <f t="shared" si="3"/>
        <v>15745.4</v>
      </c>
      <c r="N588" s="25">
        <f t="shared" si="4"/>
        <v>141708.6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  <c r="E589" s="23">
        <f>IFERROR(__xludf.DUMMYFUNCTION("SPLIT(C589,""_"")"),218.0)</f>
        <v>218</v>
      </c>
      <c r="F589" s="23" t="str">
        <f>IFERROR(__xludf.DUMMYFUNCTION("""COMPUTED_VALUE"""),"June")</f>
        <v>June</v>
      </c>
      <c r="G589" s="23">
        <f>IFERROR(__xludf.DUMMYFUNCTION("""COMPUTED_VALUE"""),21.0)</f>
        <v>21</v>
      </c>
      <c r="H589" s="23" t="str">
        <f>IFERROR(__xludf.DUMMYFUNCTION("""COMPUTED_VALUE"""),"ABC0025")</f>
        <v>ABC0025</v>
      </c>
      <c r="I589" s="23">
        <f t="shared" si="1"/>
        <v>218</v>
      </c>
      <c r="J589" s="23">
        <f>Vlookup(B589,Product_Tab!$A$2:$C$16,3,FALSE)</f>
        <v>795</v>
      </c>
      <c r="K589" s="23">
        <f t="shared" si="2"/>
        <v>173310</v>
      </c>
      <c r="L589" s="24">
        <f>Vlookup(D589,Customer_Tab!$A$2:$C$10,3,FALSE)</f>
        <v>0.1</v>
      </c>
      <c r="M589" s="23">
        <f t="shared" si="3"/>
        <v>17331</v>
      </c>
      <c r="N589" s="25">
        <f t="shared" si="4"/>
        <v>155979</v>
      </c>
    </row>
  </sheetData>
  <drawing r:id="rId1"/>
</worksheet>
</file>