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Forecasted Quarterly Profit &amp; L" sheetId="3" r:id="rId6"/>
    <sheet state="visible" name="Horizontal Analysis" sheetId="4" r:id="rId7"/>
    <sheet state="visible" name="Vertical Analysis" sheetId="5" r:id="rId8"/>
    <sheet state="visible" name="Assumptions-Forecasting" sheetId="6" r:id="rId9"/>
    <sheet state="visible" name="Forecasting-Calcs1" sheetId="7" r:id="rId10"/>
    <sheet state="visible" name="Forecasting-Calcs2" sheetId="8" r:id="rId11"/>
    <sheet state="visible" name="Forecasted Equity Statement" sheetId="9" r:id="rId12"/>
    <sheet state="visible" name="Forcasted Cash Details" sheetId="10" r:id="rId13"/>
    <sheet state="visible" name="Quarterly Balance Sheet" sheetId="11" r:id="rId14"/>
    <sheet state="visible" name="Forecasted Quarterly Balance Sh" sheetId="12" r:id="rId15"/>
  </sheets>
  <definedNames/>
  <calcPr/>
</workbook>
</file>

<file path=xl/sharedStrings.xml><?xml version="1.0" encoding="utf-8"?>
<sst xmlns="http://schemas.openxmlformats.org/spreadsheetml/2006/main" count="335" uniqueCount="165">
  <si>
    <t>Description</t>
  </si>
  <si>
    <t>You have been provided with Quarterly Profit and loss and Quarterly balance sheet of Arun Toys.</t>
  </si>
  <si>
    <t>Prepare the Vertical Analysis table and Horizontal Analysis table of Quarterly Profit and Loss of Arun Toys.</t>
  </si>
  <si>
    <t>Further, Arun Toys wants to forecast its financial statements (Profit and Loss, Cash details and Balance Sheet) for the next 3 quarters.</t>
  </si>
  <si>
    <t>For this, it has provided the following data-</t>
  </si>
  <si>
    <t>Calculate the average growth rate of sales of last 4 quarters (Y3-Q1, Y3-Q2, Y3-Q3, Y3-Q4). Use this average growth rate to forecast the quarterly sales for the next 3 quarters. The average growth rate will be applied on the previous quarter sales.</t>
  </si>
  <si>
    <t>Cost of goods Sold (COGS) will be calculated as a percentage of Sales. The percentage used will be calculated by averaging the COGS as a percentage of sales of the last 3 quarters (Y3-Q2, Y3-Q3, Y3-Q4).</t>
  </si>
  <si>
    <t>Operating cost is calculated as a percentage of Sales. The percentage used will be calculated by averaging the Operating cost as a percentage of sales of the last 4 quarters (Y3-Q1, Y3-Q2, Y3-Q3, Y3-Q4).</t>
  </si>
  <si>
    <t>Stock remains same as a percentage of COGS as in the last quarter (Y3-Q4).</t>
  </si>
  <si>
    <t>Receivables remains same as a percentage of  Sales as in the last quarter (Y3-Q4).</t>
  </si>
  <si>
    <t>Payables remains same as a percentage of COGS as in the last quarter (Y3-Q4).</t>
  </si>
  <si>
    <t>Outstanding expenses remains same as a percentage of Operating expenses as in the last quarter (Y3-Q4).</t>
  </si>
  <si>
    <t>Fixed Assets worth Rs. 2,000,000 are purchased in the beginning of Forecasted Quarter 1. The Fixed assets have a life of 36 months.</t>
  </si>
  <si>
    <t>It is estimated that opening balance as on F-Q1 of the old asset will be equally depreciated over the next 10 months.</t>
  </si>
  <si>
    <t>Loan worth Rs. 3,000,000 was availed in the beginning of Forecasted Quarter 1 for a period of 16 months. Interest is charged at 13.95% P.A.</t>
  </si>
  <si>
    <t>None of the old loan will be paid off and the interest will remain same as in the last quarter of Year 3.</t>
  </si>
  <si>
    <t>Arun Toys had 4395260 shares in the beginning of Forecasted Quarter 1. It issued 204953 new shares of Rs. 14.6 each in the beginning of Forecasted Quarter 2.</t>
  </si>
  <si>
    <t>At the end of Forecasted Quarter 2, dividend was paid at Rs. 10.3 for each outstanding share.</t>
  </si>
  <si>
    <t>Tax rate is taken as 27.38% of PAT for the period.</t>
  </si>
  <si>
    <t>Amount in Rs.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</si>
  <si>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</si>
  <si>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</si>
  <si>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</si>
  <si>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</si>
  <si>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</si>
  <si>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</si>
  <si>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</si>
  <si>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</si>
  <si>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</si>
  <si>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</si>
  <si>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</si>
  <si>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</si>
  <si>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</si>
  <si>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</si>
  <si>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</si>
  <si>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</si>
  <si>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</si>
  <si>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</si>
  <si>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</si>
  <si>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</si>
  <si>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</si>
  <si>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</si>
  <si>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</si>
  <si>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F-Q1</t>
  </si>
  <si>
    <t>F-Q2</t>
  </si>
  <si>
    <t>F-Q3</t>
  </si>
  <si>
    <t>Horizontal Analysis</t>
  </si>
  <si>
    <t>-</t>
  </si>
  <si>
    <t>Vertical Analysis (VA)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</si>
  <si>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</si>
  <si>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</si>
  <si>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</si>
  <si>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</si>
  <si>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</si>
  <si>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</si>
  <si>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</si>
  <si>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</si>
  <si>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</si>
  <si>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</si>
  <si>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</si>
  <si>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</si>
  <si>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</si>
  <si>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Y3-Q4</t>
  </si>
  <si>
    <t>Receivables</t>
  </si>
  <si>
    <t>% of Sales in Y3-Q4</t>
  </si>
  <si>
    <t>Payables</t>
  </si>
  <si>
    <t>Outstanding Expenses</t>
  </si>
  <si>
    <t>% of Operating Expenses in Y3-Q4</t>
  </si>
  <si>
    <t>Fixed Assets</t>
  </si>
  <si>
    <t>Purchase Month</t>
  </si>
  <si>
    <t>Price in Rs</t>
  </si>
  <si>
    <t>Life Of Asset</t>
  </si>
  <si>
    <t>F-Q1-M1</t>
  </si>
  <si>
    <t>Old Assets</t>
  </si>
  <si>
    <t>Depreciated Over next 10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</si>
  <si>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</si>
  <si>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</si>
  <si>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</si>
  <si>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</si>
  <si>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</si>
  <si>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</si>
  <si>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</si>
  <si>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</si>
  <si>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</si>
  <si>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Q2-Benginning</t>
  </si>
  <si>
    <t>Issue Price</t>
  </si>
  <si>
    <t>Dividend Paid per Share</t>
  </si>
  <si>
    <t>Q2-End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</si>
  <si>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</si>
  <si>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</si>
  <si>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</si>
  <si>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</si>
  <si>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</si>
  <si>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</si>
  <si>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</si>
  <si>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</si>
  <si>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</si>
  <si>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</si>
  <si>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</si>
  <si>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</si>
  <si>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</si>
  <si>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</si>
  <si>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</si>
  <si>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</si>
  <si>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</si>
  <si>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Collection from Customers</t>
  </si>
  <si>
    <t>Opening Receivables</t>
  </si>
  <si>
    <t>Closing Receivables</t>
  </si>
  <si>
    <t>Payables for Purchases</t>
  </si>
  <si>
    <t>Opening Payables</t>
  </si>
  <si>
    <t>Closing Payables</t>
  </si>
  <si>
    <t>Opening Stock</t>
  </si>
  <si>
    <t>Closing Stock</t>
  </si>
  <si>
    <t>Payment for Expenses</t>
  </si>
  <si>
    <t>Opening Outstanding Expenses</t>
  </si>
  <si>
    <t>Expenses for the Period</t>
  </si>
  <si>
    <t>Closing Outstanding Expenses</t>
  </si>
  <si>
    <t>Equity Accumulated Profits and Dividend</t>
  </si>
  <si>
    <t>Number of Shares</t>
  </si>
  <si>
    <t>Opening number of Shares</t>
  </si>
  <si>
    <t>Shares Issued</t>
  </si>
  <si>
    <t>Closing Number of Shars</t>
  </si>
  <si>
    <t>Equity Share Capital</t>
  </si>
  <si>
    <t>Opening Balance</t>
  </si>
  <si>
    <t>Equity Share Capital Issued</t>
  </si>
  <si>
    <t>Accumulated Profit</t>
  </si>
  <si>
    <t>Opening Profit</t>
  </si>
  <si>
    <t>Profit After Tax (PAT)</t>
  </si>
  <si>
    <t>Dividend Paid</t>
  </si>
  <si>
    <t>Amount (in Rs)</t>
  </si>
  <si>
    <t>Cash Inflow</t>
  </si>
  <si>
    <t>Collections from Customers</t>
  </si>
  <si>
    <t>Loans Taken</t>
  </si>
  <si>
    <t>Cash Outflow</t>
  </si>
  <si>
    <t>Fixed Asset Purchased</t>
  </si>
  <si>
    <t>Payment for Purchases</t>
  </si>
  <si>
    <t>Loan Repaid</t>
  </si>
  <si>
    <t>Interest Paid</t>
  </si>
  <si>
    <t>Tax Paid</t>
  </si>
  <si>
    <t xml:space="preserve">Total </t>
  </si>
  <si>
    <t>Cash Generated for the Period</t>
  </si>
  <si>
    <t>Cash Inhand</t>
  </si>
  <si>
    <t>Opening Cash</t>
  </si>
  <si>
    <t>Closing Cash</t>
  </si>
  <si>
    <t>Amount (in Rs.)</t>
  </si>
  <si>
    <t>Assets</t>
  </si>
  <si>
    <t>Non-Current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</si>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</sst>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readingOrder="0" vertical="bottom"/>
    </xf>
    <xf borderId="0" fillId="2" fontId="2" numFmtId="0" xfId="0" applyAlignment="1" applyFont="1">
      <alignment shrinkToFit="0" vertical="bottom" wrapText="1"/>
    </xf>
    <xf borderId="0" fillId="0" fontId="4" numFmtId="4" xfId="0" applyAlignment="1" applyFont="1" applyNumberFormat="1">
      <alignment vertical="bottom"/>
    </xf>
    <xf borderId="0" fillId="3" fontId="5" numFmtId="4" xfId="0" applyAlignment="1" applyFill="1" applyFont="1" applyNumberFormat="1">
      <alignment readingOrder="0"/>
    </xf>
    <xf borderId="0" fillId="0" fontId="6" numFmtId="4" xfId="0" applyFont="1" applyNumberFormat="1"/>
    <xf borderId="0" fillId="0" fontId="3" numFmtId="4" xfId="0" applyAlignment="1" applyFont="1" applyNumberFormat="1">
      <alignment vertical="bottom"/>
    </xf>
    <xf borderId="0" fillId="0" fontId="6" numFmtId="4" xfId="0" applyAlignment="1" applyFont="1" applyNumberFormat="1">
      <alignment readingOrder="0"/>
    </xf>
    <xf borderId="0" fillId="2" fontId="3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0" fontId="6" numFmtId="10" xfId="0" applyFont="1" applyNumberFormat="1"/>
    <xf borderId="0" fillId="4" fontId="4" numFmtId="4" xfId="0" applyAlignment="1" applyFill="1" applyFont="1" applyNumberFormat="1">
      <alignment vertical="bottom"/>
    </xf>
    <xf borderId="0" fillId="0" fontId="3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88"/>
    <col customWidth="1" min="9" max="9" width="16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2" t="s">
        <v>3</v>
      </c>
    </row>
    <row r="6">
      <c r="A6" s="4" t="s">
        <v>4</v>
      </c>
    </row>
    <row r="7">
      <c r="A7" s="5" t="s">
        <v>5</v>
      </c>
    </row>
    <row r="8">
      <c r="A8" s="5" t="s">
        <v>6</v>
      </c>
    </row>
    <row r="9">
      <c r="A9" s="5" t="s">
        <v>7</v>
      </c>
    </row>
    <row r="10">
      <c r="A10" s="5" t="s">
        <v>8</v>
      </c>
    </row>
    <row r="11">
      <c r="A11" s="5" t="s">
        <v>9</v>
      </c>
    </row>
    <row r="12">
      <c r="A12" s="5" t="s">
        <v>10</v>
      </c>
      <c r="G12" s="6"/>
      <c r="H12" s="3"/>
      <c r="I12" s="3"/>
      <c r="J12" s="3"/>
    </row>
    <row r="13">
      <c r="A13" s="5" t="s">
        <v>11</v>
      </c>
      <c r="G13" s="6"/>
      <c r="H13" s="6"/>
      <c r="I13" s="6"/>
      <c r="J13" s="3"/>
    </row>
    <row r="14">
      <c r="A14" s="7"/>
      <c r="G14" s="3"/>
      <c r="H14" s="8"/>
      <c r="I14" s="9"/>
      <c r="J14" s="3"/>
    </row>
    <row r="15">
      <c r="A15" s="5" t="s">
        <v>12</v>
      </c>
      <c r="G15" s="3"/>
      <c r="H15" s="10"/>
      <c r="I15" s="9"/>
      <c r="J15" s="3"/>
    </row>
    <row r="16">
      <c r="A16" s="5" t="s">
        <v>13</v>
      </c>
      <c r="G16" s="3"/>
      <c r="H16" s="3"/>
      <c r="I16" s="3"/>
      <c r="J16" s="3"/>
    </row>
    <row r="17">
      <c r="A17" s="7"/>
      <c r="G17" s="6"/>
      <c r="H17" s="3"/>
      <c r="I17" s="3"/>
      <c r="J17" s="3"/>
    </row>
    <row r="18">
      <c r="A18" s="5" t="s">
        <v>14</v>
      </c>
      <c r="G18" s="6"/>
      <c r="H18" s="6"/>
      <c r="I18" s="6"/>
      <c r="J18" s="11"/>
    </row>
    <row r="19">
      <c r="A19" s="5" t="s">
        <v>15</v>
      </c>
      <c r="G19" s="3"/>
      <c r="H19" s="8"/>
      <c r="I19" s="12"/>
      <c r="J19" s="9"/>
    </row>
    <row r="20">
      <c r="A20" s="7"/>
      <c r="G20" s="3"/>
      <c r="H20" s="3"/>
      <c r="I20" s="3"/>
      <c r="J20" s="3"/>
    </row>
    <row r="21">
      <c r="A21" s="5" t="s">
        <v>16</v>
      </c>
      <c r="G21" s="6"/>
      <c r="H21" s="12"/>
      <c r="I21" s="3"/>
      <c r="J21" s="3"/>
    </row>
    <row r="22">
      <c r="A22" s="7"/>
      <c r="G22" s="3"/>
      <c r="H22" s="3"/>
      <c r="I22" s="3"/>
      <c r="J22" s="3"/>
    </row>
    <row r="23">
      <c r="A23" s="5" t="s">
        <v>17</v>
      </c>
      <c r="G23" s="6"/>
      <c r="H23" s="3"/>
      <c r="I23" s="3"/>
      <c r="J23" s="3"/>
    </row>
    <row r="24">
      <c r="A24" s="7"/>
      <c r="G24" s="3"/>
      <c r="H24" s="9"/>
      <c r="I24" s="3"/>
      <c r="J24" s="3"/>
    </row>
    <row r="25">
      <c r="A25" s="5" t="s">
        <v>18</v>
      </c>
      <c r="G25" s="3"/>
      <c r="H25" s="9"/>
      <c r="I25" s="10"/>
      <c r="J25" s="3"/>
    </row>
    <row r="26">
      <c r="A26" s="13"/>
      <c r="G26" s="3"/>
      <c r="H26" s="9"/>
      <c r="I26" s="3"/>
      <c r="J26" s="3"/>
    </row>
    <row r="27">
      <c r="G27" s="3"/>
      <c r="H27" s="9"/>
      <c r="I27" s="10"/>
      <c r="J27" s="3"/>
    </row>
    <row r="28">
      <c r="G28" s="3"/>
      <c r="H28" s="3"/>
      <c r="I28" s="3"/>
      <c r="J2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6" t="s">
        <v>129</v>
      </c>
      <c r="B1" s="23" t="s">
        <v>43</v>
      </c>
      <c r="C1" s="23" t="s">
        <v>44</v>
      </c>
      <c r="D1" s="23" t="s">
        <v>45</v>
      </c>
    </row>
    <row r="2">
      <c r="A2" s="6" t="s">
        <v>130</v>
      </c>
      <c r="B2" s="3"/>
      <c r="C2" s="3"/>
      <c r="D2" s="3"/>
    </row>
    <row r="3">
      <c r="A3" s="3" t="s">
        <v>131</v>
      </c>
      <c r="B3" s="24">
        <f>'Forecasting-Calcs2'!B6</f>
        <v>40522868.36</v>
      </c>
      <c r="C3" s="24">
        <f>'Forecasting-Calcs2'!C6</f>
        <v>42070109.31</v>
      </c>
      <c r="D3" s="24">
        <f>'Forecasting-Calcs2'!D6</f>
        <v>43676426.89</v>
      </c>
    </row>
    <row r="4">
      <c r="A4" s="3" t="s">
        <v>124</v>
      </c>
      <c r="B4" s="24">
        <f>'Forecasted Equity Statement'!B10</f>
        <v>0</v>
      </c>
      <c r="C4" s="24">
        <f>'Forecasted Equity Statement'!C10</f>
        <v>2992313.8</v>
      </c>
      <c r="D4" s="24">
        <f>'Forecasted Equity Statement'!D10</f>
        <v>0</v>
      </c>
    </row>
    <row r="5">
      <c r="A5" s="3" t="s">
        <v>132</v>
      </c>
      <c r="B5" s="24">
        <f>'Forecasting-Calcs1'!H11</f>
        <v>3000000</v>
      </c>
      <c r="C5" s="24">
        <f>'Forecasting-Calcs1'!I11</f>
        <v>0</v>
      </c>
      <c r="D5" s="24">
        <f>'Forecasting-Calcs1'!J11</f>
        <v>0</v>
      </c>
    </row>
    <row r="6">
      <c r="A6" s="6" t="s">
        <v>95</v>
      </c>
      <c r="B6" s="24">
        <f t="shared" ref="B6:D6" si="1">SUM(B3:B5)</f>
        <v>43522868.36</v>
      </c>
      <c r="C6" s="24">
        <f t="shared" si="1"/>
        <v>45062423.11</v>
      </c>
      <c r="D6" s="24">
        <f t="shared" si="1"/>
        <v>43676426.89</v>
      </c>
    </row>
    <row r="7">
      <c r="A7" s="3"/>
      <c r="B7" s="3"/>
      <c r="C7" s="3"/>
      <c r="D7" s="3"/>
    </row>
    <row r="8">
      <c r="A8" s="6" t="s">
        <v>133</v>
      </c>
      <c r="B8" s="3"/>
      <c r="C8" s="3"/>
      <c r="D8" s="3"/>
    </row>
    <row r="9">
      <c r="A9" s="3" t="s">
        <v>134</v>
      </c>
      <c r="B9" s="24">
        <f>'Forecasting-Calcs1'!B11</f>
        <v>2000000</v>
      </c>
      <c r="C9" s="24">
        <f>'Forecasting-Calcs1'!C11</f>
        <v>0</v>
      </c>
      <c r="D9" s="24">
        <f>'Forecasting-Calcs1'!D11</f>
        <v>0</v>
      </c>
    </row>
    <row r="10">
      <c r="A10" s="3" t="s">
        <v>135</v>
      </c>
      <c r="B10" s="24">
        <f>'Forecasting-Calcs2'!B12</f>
        <v>24660913.79</v>
      </c>
      <c r="C10" s="24">
        <f>'Forecasting-Calcs2'!C12</f>
        <v>25600779.05</v>
      </c>
      <c r="D10" s="24">
        <f>'Forecasting-Calcs2'!D12</f>
        <v>26578265.97</v>
      </c>
    </row>
    <row r="11">
      <c r="A11" s="3" t="s">
        <v>113</v>
      </c>
      <c r="B11" s="24">
        <f>'Forecasting-Calcs2'!B24</f>
        <v>333928.6086</v>
      </c>
      <c r="C11" s="24">
        <f>'Forecasting-Calcs2'!C24</f>
        <v>349832.1007</v>
      </c>
      <c r="D11" s="24">
        <f>'Forecasting-Calcs2'!D24</f>
        <v>363189.3623</v>
      </c>
    </row>
    <row r="12">
      <c r="A12" s="3" t="s">
        <v>136</v>
      </c>
      <c r="B12" s="26">
        <v>0.0</v>
      </c>
      <c r="C12" s="26">
        <v>0.0</v>
      </c>
      <c r="D12" s="26">
        <v>0.0</v>
      </c>
    </row>
    <row r="13">
      <c r="A13" s="3" t="s">
        <v>137</v>
      </c>
      <c r="B13" s="24">
        <f>'Forecasted Quarterly Profit &amp; L'!C9</f>
        <v>172972.582</v>
      </c>
      <c r="C13" s="24">
        <f>'Forecasted Quarterly Profit &amp; L'!D9</f>
        <v>172972.582</v>
      </c>
      <c r="D13" s="24">
        <f>'Forecasted Quarterly Profit &amp; L'!E9</f>
        <v>172972.582</v>
      </c>
    </row>
    <row r="14">
      <c r="A14" s="3" t="s">
        <v>128</v>
      </c>
      <c r="B14" s="24">
        <f>'Forecasted Equity Statement'!B16</f>
        <v>0</v>
      </c>
      <c r="C14" s="24">
        <f>'Forecasted Equity Statement'!C16</f>
        <v>47382193.9</v>
      </c>
      <c r="D14" s="24">
        <f>'Forecasted Equity Statement'!D16</f>
        <v>0</v>
      </c>
    </row>
    <row r="15">
      <c r="A15" s="3" t="s">
        <v>138</v>
      </c>
      <c r="B15" s="24">
        <f>'Forecasted Quarterly Profit &amp; L'!C11</f>
        <v>4239755.07</v>
      </c>
      <c r="C15" s="24">
        <f>'Forecasted Quarterly Profit &amp; L'!D11</f>
        <v>4406341.15</v>
      </c>
      <c r="D15" s="24">
        <f>'Forecasted Quarterly Profit &amp; L'!E11</f>
        <v>4579287.807</v>
      </c>
    </row>
    <row r="16">
      <c r="A16" s="6" t="s">
        <v>139</v>
      </c>
      <c r="B16" s="24">
        <f t="shared" ref="B16:D16" si="2">SUM(B9:B15)</f>
        <v>31407570.05</v>
      </c>
      <c r="C16" s="24">
        <f t="shared" si="2"/>
        <v>77912118.78</v>
      </c>
      <c r="D16" s="24">
        <f t="shared" si="2"/>
        <v>31693715.72</v>
      </c>
    </row>
    <row r="17">
      <c r="A17" s="3"/>
      <c r="B17" s="3"/>
      <c r="C17" s="3"/>
      <c r="D17" s="3"/>
    </row>
    <row r="18">
      <c r="A18" s="6" t="s">
        <v>140</v>
      </c>
      <c r="B18" s="24">
        <f t="shared" ref="B18:D18" si="3">B6-B16</f>
        <v>12115298.31</v>
      </c>
      <c r="C18" s="24">
        <f t="shared" si="3"/>
        <v>-32849695.67</v>
      </c>
      <c r="D18" s="24">
        <f t="shared" si="3"/>
        <v>11982711.18</v>
      </c>
    </row>
    <row r="19">
      <c r="A19" s="3"/>
      <c r="B19" s="3"/>
      <c r="C19" s="3"/>
      <c r="D19" s="3"/>
    </row>
    <row r="20">
      <c r="A20" s="6" t="s">
        <v>141</v>
      </c>
      <c r="B20" s="3"/>
      <c r="C20" s="3"/>
      <c r="D20" s="3"/>
    </row>
    <row r="21">
      <c r="A21" s="3" t="s">
        <v>142</v>
      </c>
      <c r="B21" s="24">
        <f>'Forecasted Quarterly Balance Sh'!B10</f>
        <v>91882028.03</v>
      </c>
      <c r="C21" s="24">
        <f t="shared" ref="C21:D21" si="4">B23</f>
        <v>103997326.3</v>
      </c>
      <c r="D21" s="24">
        <f t="shared" si="4"/>
        <v>71147630.67</v>
      </c>
    </row>
    <row r="22">
      <c r="A22" s="3" t="s">
        <v>140</v>
      </c>
      <c r="B22" s="24">
        <f t="shared" ref="B22:D22" si="5">B18</f>
        <v>12115298.31</v>
      </c>
      <c r="C22" s="24">
        <f t="shared" si="5"/>
        <v>-32849695.67</v>
      </c>
      <c r="D22" s="24">
        <f t="shared" si="5"/>
        <v>11982711.18</v>
      </c>
    </row>
    <row r="23">
      <c r="A23" s="3" t="s">
        <v>143</v>
      </c>
      <c r="B23" s="24">
        <f t="shared" ref="B23:D23" si="6">B21+B22</f>
        <v>103997326.3</v>
      </c>
      <c r="C23" s="24">
        <f t="shared" si="6"/>
        <v>71147630.67</v>
      </c>
      <c r="D23" s="24">
        <f t="shared" si="6"/>
        <v>83130341.84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4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 t="s">
        <v>145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146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68</v>
      </c>
      <c r="B5" s="16">
        <v>854814.2857142857</v>
      </c>
      <c r="C5" s="16">
        <v>690628.5714285715</v>
      </c>
      <c r="D5" s="16">
        <v>526442.8571428572</v>
      </c>
      <c r="E5" s="16">
        <v>362257.14285714296</v>
      </c>
      <c r="F5" s="16">
        <v>498071.42857142864</v>
      </c>
      <c r="G5" s="16">
        <v>333885.7142857143</v>
      </c>
      <c r="H5" s="16">
        <v>729700.0000000001</v>
      </c>
      <c r="I5" s="16">
        <v>565514.2857142858</v>
      </c>
      <c r="J5" s="16">
        <v>401328.5714285716</v>
      </c>
      <c r="K5" s="16">
        <v>537142.8571428573</v>
      </c>
      <c r="L5" s="16">
        <v>531957.142857143</v>
      </c>
      <c r="M5" s="16">
        <v>367771.42857142875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 t="s">
        <v>147</v>
      </c>
      <c r="B6" s="16">
        <v>854814.2857142857</v>
      </c>
      <c r="C6" s="16">
        <v>690628.5714285715</v>
      </c>
      <c r="D6" s="16">
        <v>526442.8571428572</v>
      </c>
      <c r="E6" s="16">
        <v>362257.14285714296</v>
      </c>
      <c r="F6" s="16">
        <v>498071.42857142864</v>
      </c>
      <c r="G6" s="16">
        <v>333885.7142857143</v>
      </c>
      <c r="H6" s="16">
        <v>729700.0000000001</v>
      </c>
      <c r="I6" s="16">
        <v>565514.2857142858</v>
      </c>
      <c r="J6" s="16">
        <v>401328.5714285716</v>
      </c>
      <c r="K6" s="16">
        <v>537142.8571428573</v>
      </c>
      <c r="L6" s="16">
        <v>531957.142857143</v>
      </c>
      <c r="M6" s="16">
        <v>367771.42857142875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 t="s">
        <v>148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7" t="s">
        <v>149</v>
      </c>
      <c r="B9" s="24">
        <v>59112.424337500495</v>
      </c>
      <c r="C9" s="24">
        <v>215727.34109235214</v>
      </c>
      <c r="D9" s="24">
        <v>474721.1007202687</v>
      </c>
      <c r="E9" s="24">
        <v>840893.2527052037</v>
      </c>
      <c r="F9" s="24">
        <v>1318922.3508813865</v>
      </c>
      <c r="G9" s="24">
        <v>1913315.6115181665</v>
      </c>
      <c r="H9" s="24">
        <v>2628351.767130537</v>
      </c>
      <c r="I9" s="24">
        <v>3468016.396508858</v>
      </c>
      <c r="J9" s="24">
        <v>4435928.943429071</v>
      </c>
      <c r="K9" s="24">
        <v>5535260.562433905</v>
      </c>
      <c r="L9" s="24">
        <v>6768641.84945137</v>
      </c>
      <c r="M9" s="24">
        <v>8138059.427281324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63</v>
      </c>
      <c r="B10" s="16">
        <v>1.1380560540698249E7</v>
      </c>
      <c r="C10" s="16">
        <v>9198723.803372784</v>
      </c>
      <c r="D10" s="16">
        <v>1.2222806261777649E7</v>
      </c>
      <c r="E10" s="16">
        <v>9913250.086998409</v>
      </c>
      <c r="F10" s="16">
        <v>1.3143488662840035E7</v>
      </c>
      <c r="G10" s="16">
        <v>1.0695640816015474E7</v>
      </c>
      <c r="H10" s="16">
        <v>1.415094755134638E7</v>
      </c>
      <c r="I10" s="16">
        <v>1.155313051155116E7</v>
      </c>
      <c r="J10" s="16">
        <v>1.525447379060078E7</v>
      </c>
      <c r="K10" s="16">
        <v>1.249377548871003E7</v>
      </c>
      <c r="L10" s="16">
        <v>1.646442195700816E7</v>
      </c>
      <c r="M10" s="16">
        <v>1.3526550671409063E7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150</v>
      </c>
      <c r="B11" s="16">
        <v>9377148.36301916</v>
      </c>
      <c r="C11" s="16">
        <v>2.69984900880086E7</v>
      </c>
      <c r="D11" s="16">
        <v>3.162612147912837E7</v>
      </c>
      <c r="E11" s="16">
        <v>3.8449107519116096E7</v>
      </c>
      <c r="F11" s="16">
        <v>4.1433740327009946E7</v>
      </c>
      <c r="G11" s="16">
        <v>5.1636063979473144E7</v>
      </c>
      <c r="H11" s="16">
        <v>6.982369058348876E7</v>
      </c>
      <c r="I11" s="16">
        <v>6.764596194200769E7</v>
      </c>
      <c r="J11" s="16">
        <v>6.850752615308183E7</v>
      </c>
      <c r="K11" s="16">
        <v>7.583085318983057E7</v>
      </c>
      <c r="L11" s="16">
        <v>1.1575625876135707E8</v>
      </c>
      <c r="M11" s="16">
        <v>9.188202802837615E7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 t="s">
        <v>151</v>
      </c>
      <c r="B12" s="16">
        <f t="shared" ref="B12:M12" si="1">sum(B9:B11)</f>
        <v>20816821.33</v>
      </c>
      <c r="C12" s="16">
        <f t="shared" si="1"/>
        <v>36412941.23</v>
      </c>
      <c r="D12" s="16">
        <f t="shared" si="1"/>
        <v>44323648.84</v>
      </c>
      <c r="E12" s="16">
        <f t="shared" si="1"/>
        <v>49203250.86</v>
      </c>
      <c r="F12" s="16">
        <f t="shared" si="1"/>
        <v>55896151.34</v>
      </c>
      <c r="G12" s="16">
        <f t="shared" si="1"/>
        <v>64245020.41</v>
      </c>
      <c r="H12" s="16">
        <f t="shared" si="1"/>
        <v>86602989.9</v>
      </c>
      <c r="I12" s="16">
        <f t="shared" si="1"/>
        <v>82667108.85</v>
      </c>
      <c r="J12" s="16">
        <f t="shared" si="1"/>
        <v>88197928.89</v>
      </c>
      <c r="K12" s="16">
        <f t="shared" si="1"/>
        <v>93859889.24</v>
      </c>
      <c r="L12" s="16">
        <f t="shared" si="1"/>
        <v>138989322.6</v>
      </c>
      <c r="M12" s="16">
        <f t="shared" si="1"/>
        <v>113546638.1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 t="s">
        <v>152</v>
      </c>
      <c r="B13" s="16">
        <f t="shared" ref="B13:M13" si="2">B6+B12</f>
        <v>21671635.61</v>
      </c>
      <c r="C13" s="16">
        <f t="shared" si="2"/>
        <v>37103569.8</v>
      </c>
      <c r="D13" s="16">
        <f t="shared" si="2"/>
        <v>44850091.7</v>
      </c>
      <c r="E13" s="16">
        <f t="shared" si="2"/>
        <v>49565508</v>
      </c>
      <c r="F13" s="16">
        <f t="shared" si="2"/>
        <v>56394222.77</v>
      </c>
      <c r="G13" s="16">
        <f t="shared" si="2"/>
        <v>64578906.12</v>
      </c>
      <c r="H13" s="16">
        <f t="shared" si="2"/>
        <v>87332689.9</v>
      </c>
      <c r="I13" s="16">
        <f t="shared" si="2"/>
        <v>83232623.14</v>
      </c>
      <c r="J13" s="16">
        <f t="shared" si="2"/>
        <v>88599257.46</v>
      </c>
      <c r="K13" s="16">
        <f t="shared" si="2"/>
        <v>94397032.1</v>
      </c>
      <c r="L13" s="16">
        <f t="shared" si="2"/>
        <v>139521279.7</v>
      </c>
      <c r="M13" s="16">
        <f t="shared" si="2"/>
        <v>113914409.6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 t="s">
        <v>153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122</v>
      </c>
      <c r="B16" s="16">
        <v>9098046.0</v>
      </c>
      <c r="C16" s="16">
        <v>1.7010414E7</v>
      </c>
      <c r="D16" s="16">
        <v>1.7010414E7</v>
      </c>
      <c r="E16" s="16">
        <v>1.7010414E7</v>
      </c>
      <c r="F16" s="16">
        <v>1.7010414E7</v>
      </c>
      <c r="G16" s="16">
        <v>1.7010414E7</v>
      </c>
      <c r="H16" s="16">
        <v>3.3273739E7</v>
      </c>
      <c r="I16" s="16">
        <v>3.3273739E7</v>
      </c>
      <c r="J16" s="16">
        <v>3.3273739E7</v>
      </c>
      <c r="K16" s="16">
        <v>3.3273739E7</v>
      </c>
      <c r="L16" s="16">
        <v>7.2862219E7</v>
      </c>
      <c r="M16" s="16">
        <v>7.2862219E7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 t="s">
        <v>154</v>
      </c>
      <c r="B17" s="16">
        <v>6830265.163769201</v>
      </c>
      <c r="C17" s="16">
        <v>1.358021415980305E7</v>
      </c>
      <c r="D17" s="16">
        <v>2.0233481718582194E7</v>
      </c>
      <c r="E17" s="16">
        <v>2.3854288470503878E7</v>
      </c>
      <c r="F17" s="16">
        <v>3.0249055991559334E7</v>
      </c>
      <c r="G17" s="16">
        <v>3.643923757643461E7</v>
      </c>
      <c r="H17" s="16">
        <v>4.244312966056119E7</v>
      </c>
      <c r="I17" s="16">
        <v>3.856949071414476E7</v>
      </c>
      <c r="J17" s="16">
        <v>4.411072777037765E7</v>
      </c>
      <c r="K17" s="16">
        <v>4.93659991406585E7</v>
      </c>
      <c r="L17" s="16">
        <v>5.428915060047364E7</v>
      </c>
      <c r="M17" s="16">
        <v>2.8068905505611554E7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 t="s">
        <v>155</v>
      </c>
      <c r="B18" s="16">
        <f t="shared" ref="B18:M18" si="3">sum(B16:B17)</f>
        <v>15928311.16</v>
      </c>
      <c r="C18" s="16">
        <f t="shared" si="3"/>
        <v>30590628.16</v>
      </c>
      <c r="D18" s="16">
        <f t="shared" si="3"/>
        <v>37243895.72</v>
      </c>
      <c r="E18" s="16">
        <f t="shared" si="3"/>
        <v>40864702.47</v>
      </c>
      <c r="F18" s="16">
        <f t="shared" si="3"/>
        <v>47259469.99</v>
      </c>
      <c r="G18" s="16">
        <f t="shared" si="3"/>
        <v>53449651.58</v>
      </c>
      <c r="H18" s="16">
        <f t="shared" si="3"/>
        <v>75716868.66</v>
      </c>
      <c r="I18" s="16">
        <f t="shared" si="3"/>
        <v>71843229.71</v>
      </c>
      <c r="J18" s="16">
        <f t="shared" si="3"/>
        <v>77384466.77</v>
      </c>
      <c r="K18" s="16">
        <f t="shared" si="3"/>
        <v>82639738.14</v>
      </c>
      <c r="L18" s="16">
        <f t="shared" si="3"/>
        <v>127151369.6</v>
      </c>
      <c r="M18" s="16">
        <f t="shared" si="3"/>
        <v>100931124.5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 t="s">
        <v>156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 t="s">
        <v>157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158</v>
      </c>
      <c r="B22" s="16">
        <v>0.0</v>
      </c>
      <c r="C22" s="16">
        <v>439463.0</v>
      </c>
      <c r="D22" s="16">
        <v>1145481.0</v>
      </c>
      <c r="E22" s="16">
        <v>1865926.0</v>
      </c>
      <c r="F22" s="16">
        <v>1865926.0</v>
      </c>
      <c r="G22" s="16">
        <v>3436686.0</v>
      </c>
      <c r="H22" s="16">
        <v>3436686.0</v>
      </c>
      <c r="I22" s="16">
        <v>2730668.0</v>
      </c>
      <c r="J22" s="16">
        <v>2010223.0</v>
      </c>
      <c r="K22" s="16">
        <v>2010223.0</v>
      </c>
      <c r="L22" s="16">
        <v>2010223.0</v>
      </c>
      <c r="M22" s="16">
        <v>2010223.0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 t="s">
        <v>159</v>
      </c>
      <c r="B23" s="16">
        <v>0.0</v>
      </c>
      <c r="C23" s="16">
        <v>439463.0</v>
      </c>
      <c r="D23" s="16">
        <v>1145481.0</v>
      </c>
      <c r="E23" s="16">
        <v>1865926.0</v>
      </c>
      <c r="F23" s="16">
        <v>1865926.0</v>
      </c>
      <c r="G23" s="16">
        <v>3436686.0</v>
      </c>
      <c r="H23" s="16">
        <v>3436686.0</v>
      </c>
      <c r="I23" s="16">
        <v>2730668.0</v>
      </c>
      <c r="J23" s="16">
        <v>2010223.0</v>
      </c>
      <c r="K23" s="16">
        <v>2010223.0</v>
      </c>
      <c r="L23" s="16">
        <v>2010223.0</v>
      </c>
      <c r="M23" s="16">
        <v>2010223.0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 t="s">
        <v>160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65</v>
      </c>
      <c r="B26" s="16">
        <v>5674110.450000001</v>
      </c>
      <c r="C26" s="16">
        <v>6022130.644099263</v>
      </c>
      <c r="D26" s="16">
        <v>6391500.980186946</v>
      </c>
      <c r="E26" s="16">
        <v>6783531.531172974</v>
      </c>
      <c r="F26" s="16">
        <v>7199612.77774346</v>
      </c>
      <c r="G26" s="16">
        <v>7641220.544857892</v>
      </c>
      <c r="H26" s="16">
        <v>8109921.241404485</v>
      </c>
      <c r="I26" s="16">
        <v>8607377.421637226</v>
      </c>
      <c r="J26" s="16">
        <v>9135353.688162608</v>
      </c>
      <c r="K26" s="16">
        <v>9695722.957458869</v>
      </c>
      <c r="L26" s="16">
        <v>1.0290473110200094E7</v>
      </c>
      <c r="M26" s="16">
        <v>1.0921714050026417E7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 t="s">
        <v>66</v>
      </c>
      <c r="B27" s="16">
        <v>69214.0</v>
      </c>
      <c r="C27" s="16">
        <v>51348.0</v>
      </c>
      <c r="D27" s="16">
        <v>69214.0</v>
      </c>
      <c r="E27" s="16">
        <v>51348.0</v>
      </c>
      <c r="F27" s="16">
        <v>69214.0</v>
      </c>
      <c r="G27" s="16">
        <v>51348.0</v>
      </c>
      <c r="H27" s="16">
        <v>69214.0</v>
      </c>
      <c r="I27" s="16">
        <v>51348.0</v>
      </c>
      <c r="J27" s="16">
        <v>69214.0</v>
      </c>
      <c r="K27" s="16">
        <v>51348.0</v>
      </c>
      <c r="L27" s="16">
        <v>69214.0</v>
      </c>
      <c r="M27" s="16">
        <v>51348.0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 t="s">
        <v>161</v>
      </c>
      <c r="B28" s="16">
        <v>5743324.450000001</v>
      </c>
      <c r="C28" s="16">
        <v>6073478.644099263</v>
      </c>
      <c r="D28" s="16">
        <v>6460714.980186946</v>
      </c>
      <c r="E28" s="16">
        <v>6834879.531172974</v>
      </c>
      <c r="F28" s="16">
        <v>7268826.77774346</v>
      </c>
      <c r="G28" s="16">
        <v>7692568.544857892</v>
      </c>
      <c r="H28" s="16">
        <v>8179135.241404485</v>
      </c>
      <c r="I28" s="16">
        <v>8658725.421637226</v>
      </c>
      <c r="J28" s="16">
        <v>9204567.688162608</v>
      </c>
      <c r="K28" s="16">
        <v>9747070.957458869</v>
      </c>
      <c r="L28" s="16">
        <v>1.0359687110200094E7</v>
      </c>
      <c r="M28" s="16">
        <v>1.0973062050026417E7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 t="s">
        <v>162</v>
      </c>
      <c r="B29" s="16">
        <v>5743324.450000001</v>
      </c>
      <c r="C29" s="16">
        <v>6512941.644099263</v>
      </c>
      <c r="D29" s="16">
        <v>7606195.980186946</v>
      </c>
      <c r="E29" s="16">
        <v>8700805.531172974</v>
      </c>
      <c r="F29" s="16">
        <v>9134752.777743459</v>
      </c>
      <c r="G29" s="16">
        <v>1.1129254544857893E7</v>
      </c>
      <c r="H29" s="16">
        <v>1.1615821241404485E7</v>
      </c>
      <c r="I29" s="16">
        <v>1.1389393421637226E7</v>
      </c>
      <c r="J29" s="16">
        <v>1.1214790688162608E7</v>
      </c>
      <c r="K29" s="16">
        <v>1.1757293957458869E7</v>
      </c>
      <c r="L29" s="16">
        <v>1.2369910110200094E7</v>
      </c>
      <c r="M29" s="16">
        <v>1.2983285050026417E7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 t="s">
        <v>163</v>
      </c>
      <c r="B31" s="16">
        <f t="shared" ref="B31:M31" si="4">B29+B18</f>
        <v>21671635.61</v>
      </c>
      <c r="C31" s="16">
        <f t="shared" si="4"/>
        <v>37103569.8</v>
      </c>
      <c r="D31" s="16">
        <f t="shared" si="4"/>
        <v>44850091.7</v>
      </c>
      <c r="E31" s="16">
        <f t="shared" si="4"/>
        <v>49565508</v>
      </c>
      <c r="F31" s="16">
        <f t="shared" si="4"/>
        <v>56394222.77</v>
      </c>
      <c r="G31" s="16">
        <f t="shared" si="4"/>
        <v>64578906.12</v>
      </c>
      <c r="H31" s="16">
        <f t="shared" si="4"/>
        <v>87332689.9</v>
      </c>
      <c r="I31" s="16">
        <f t="shared" si="4"/>
        <v>83232623.14</v>
      </c>
      <c r="J31" s="16">
        <f t="shared" si="4"/>
        <v>88599257.46</v>
      </c>
      <c r="K31" s="16">
        <f t="shared" si="4"/>
        <v>94397032.1</v>
      </c>
      <c r="L31" s="16">
        <f t="shared" si="4"/>
        <v>139521279.7</v>
      </c>
      <c r="M31" s="16">
        <f t="shared" si="4"/>
        <v>113914409.6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 t="s">
        <v>164</v>
      </c>
      <c r="B33" s="16">
        <f t="shared" ref="B33:M33" si="5">B13-B31</f>
        <v>-0.000000003725290298</v>
      </c>
      <c r="C33" s="16">
        <f t="shared" si="5"/>
        <v>0</v>
      </c>
      <c r="D33" s="16">
        <f t="shared" si="5"/>
        <v>0</v>
      </c>
      <c r="E33" s="16">
        <f t="shared" si="5"/>
        <v>-0.000000007450580597</v>
      </c>
      <c r="F33" s="16">
        <f t="shared" si="5"/>
        <v>0</v>
      </c>
      <c r="G33" s="16">
        <f t="shared" si="5"/>
        <v>0</v>
      </c>
      <c r="H33" s="16">
        <f t="shared" si="5"/>
        <v>0</v>
      </c>
      <c r="I33" s="16">
        <f t="shared" si="5"/>
        <v>0</v>
      </c>
      <c r="J33" s="16">
        <f t="shared" si="5"/>
        <v>0</v>
      </c>
      <c r="K33" s="16">
        <f t="shared" si="5"/>
        <v>0</v>
      </c>
      <c r="L33" s="16">
        <f t="shared" si="5"/>
        <v>0</v>
      </c>
      <c r="M33" s="16">
        <f t="shared" si="5"/>
        <v>0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4" t="s">
        <v>19</v>
      </c>
      <c r="B1" s="15" t="s">
        <v>31</v>
      </c>
      <c r="C1" s="15" t="s">
        <v>43</v>
      </c>
      <c r="D1" s="15" t="s">
        <v>44</v>
      </c>
      <c r="E1" s="15" t="s">
        <v>45</v>
      </c>
      <c r="F1" s="16"/>
      <c r="G1" s="16"/>
      <c r="H1" s="16"/>
      <c r="I1" s="16"/>
      <c r="J1" s="16"/>
      <c r="K1" s="16"/>
      <c r="L1" s="16"/>
      <c r="M1" s="16"/>
      <c r="N1" s="16"/>
      <c r="O1" s="16"/>
    </row>
    <row r="2">
      <c r="A2" s="14" t="s">
        <v>145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>
      <c r="A3" s="14" t="s">
        <v>146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>
      <c r="A4" s="17" t="s">
        <v>68</v>
      </c>
      <c r="B4" s="16">
        <v>367771.42857142875</v>
      </c>
      <c r="C4" s="24">
        <f>'Forecasting-Calcs1'!B16-'Forecasting-Calcs1'!B31</f>
        <v>2090773.333</v>
      </c>
      <c r="D4" s="24">
        <f>'Forecasting-Calcs1'!C16-'Forecasting-Calcs1'!C31</f>
        <v>1813775.238</v>
      </c>
      <c r="E4" s="24">
        <f>'Forecasting-Calcs1'!D16-'Forecasting-Calcs1'!D31</f>
        <v>1536777.143</v>
      </c>
      <c r="F4" s="16"/>
      <c r="G4" s="16"/>
      <c r="H4" s="16"/>
      <c r="I4" s="16"/>
      <c r="J4" s="16"/>
      <c r="K4" s="16"/>
      <c r="L4" s="16"/>
      <c r="M4" s="16"/>
      <c r="N4" s="16"/>
      <c r="O4" s="16"/>
    </row>
    <row r="5">
      <c r="A5" s="14" t="s">
        <v>147</v>
      </c>
      <c r="B5" s="16">
        <v>367771.42857142875</v>
      </c>
      <c r="C5" s="24">
        <f t="shared" ref="C5:E5" si="1">SUM(C4)</f>
        <v>2090773.333</v>
      </c>
      <c r="D5" s="24">
        <f t="shared" si="1"/>
        <v>1813775.238</v>
      </c>
      <c r="E5" s="24">
        <f t="shared" si="1"/>
        <v>1536777.143</v>
      </c>
      <c r="F5" s="16"/>
      <c r="G5" s="16"/>
      <c r="H5" s="16"/>
      <c r="I5" s="16"/>
      <c r="J5" s="16"/>
      <c r="K5" s="16"/>
      <c r="L5" s="16"/>
      <c r="M5" s="16"/>
      <c r="N5" s="16"/>
      <c r="O5" s="16"/>
    </row>
    <row r="6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>
      <c r="A7" s="14" t="s">
        <v>148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>
      <c r="A8" s="27" t="s">
        <v>149</v>
      </c>
      <c r="B8" s="24">
        <v>8138059.427281324</v>
      </c>
      <c r="C8" s="24">
        <f>'Assumptions-Forecasting'!$D6*'Forecasted Quarterly Profit &amp; L'!C3</f>
        <v>8443711.532</v>
      </c>
      <c r="D8" s="24">
        <f>'Assumptions-Forecasting'!$D6*'Forecasted Quarterly Profit &amp; L'!D3</f>
        <v>8766108.658</v>
      </c>
      <c r="E8" s="24">
        <f>'Assumptions-Forecasting'!$D6*'Forecasted Quarterly Profit &amp; L'!E3</f>
        <v>9100815.525</v>
      </c>
      <c r="F8" s="16"/>
      <c r="G8" s="16"/>
      <c r="H8" s="16"/>
      <c r="I8" s="16"/>
      <c r="J8" s="16"/>
      <c r="K8" s="16"/>
      <c r="L8" s="16"/>
      <c r="M8" s="16"/>
      <c r="N8" s="16"/>
      <c r="O8" s="16"/>
    </row>
    <row r="9">
      <c r="A9" s="17" t="s">
        <v>63</v>
      </c>
      <c r="B9" s="16">
        <v>1.3526550671409063E7</v>
      </c>
      <c r="C9" s="24">
        <f>'Assumptions-Forecasting'!$D7*'Forecasted Quarterly Profit &amp; L'!C2</f>
        <v>14043020.36</v>
      </c>
      <c r="D9" s="24">
        <f>'Assumptions-Forecasting'!$D7*'Forecasted Quarterly Profit &amp; L'!D2</f>
        <v>14579209.85</v>
      </c>
      <c r="E9" s="24">
        <f>'Assumptions-Forecasting'!$D7*'Forecasted Quarterly Profit &amp; L'!E2</f>
        <v>15135872.09</v>
      </c>
      <c r="F9" s="16"/>
      <c r="G9" s="16"/>
      <c r="H9" s="16"/>
      <c r="I9" s="16"/>
      <c r="J9" s="16"/>
      <c r="K9" s="16"/>
      <c r="L9" s="16"/>
      <c r="M9" s="16"/>
      <c r="N9" s="16"/>
      <c r="O9" s="16"/>
    </row>
    <row r="10">
      <c r="A10" s="17" t="s">
        <v>150</v>
      </c>
      <c r="B10" s="16">
        <v>9.188202802837615E7</v>
      </c>
      <c r="C10" s="24">
        <f>'Forcasted Cash Details'!B23</f>
        <v>103997326.3</v>
      </c>
      <c r="D10" s="24">
        <f>'Forcasted Cash Details'!C23</f>
        <v>71147630.67</v>
      </c>
      <c r="E10" s="24">
        <f>'Forcasted Cash Details'!D23</f>
        <v>83130341.84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>
      <c r="A11" s="14" t="s">
        <v>151</v>
      </c>
      <c r="B11" s="16">
        <f>sum(B8:B10)</f>
        <v>113546638.1</v>
      </c>
      <c r="C11" s="24">
        <f t="shared" ref="C11:E11" si="2">SUM(C8:C10)</f>
        <v>126484058.2</v>
      </c>
      <c r="D11" s="24">
        <f t="shared" si="2"/>
        <v>94492949.18</v>
      </c>
      <c r="E11" s="24">
        <f t="shared" si="2"/>
        <v>107367029.5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>
      <c r="A12" s="14" t="s">
        <v>152</v>
      </c>
      <c r="B12" s="16">
        <f t="shared" ref="B12:E12" si="3">B5+B11</f>
        <v>113914409.6</v>
      </c>
      <c r="C12" s="24">
        <f t="shared" si="3"/>
        <v>128574831.6</v>
      </c>
      <c r="D12" s="24">
        <f t="shared" si="3"/>
        <v>96306724.41</v>
      </c>
      <c r="E12" s="24">
        <f t="shared" si="3"/>
        <v>108903806.6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>
      <c r="A14" s="14" t="s">
        <v>153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>
      <c r="A15" s="17" t="s">
        <v>122</v>
      </c>
      <c r="B15" s="16">
        <v>7.2862219E7</v>
      </c>
      <c r="C15" s="16">
        <f>'Forecasted Equity Statement'!B11</f>
        <v>72862219</v>
      </c>
      <c r="D15" s="16">
        <f>'Forecasted Equity Statement'!C11</f>
        <v>75854532.8</v>
      </c>
      <c r="E15" s="16">
        <f>'Forecasted Equity Statement'!D11</f>
        <v>75854532.8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>
      <c r="A16" s="17" t="s">
        <v>154</v>
      </c>
      <c r="B16" s="16">
        <v>2.8068905505611554E7</v>
      </c>
      <c r="C16" s="16">
        <f>'Forecasted Equity Statement'!B17</f>
        <v>39314011.9</v>
      </c>
      <c r="D16" s="16">
        <f>'Forecasted Equity Statement'!C17</f>
        <v>3618760.821</v>
      </c>
      <c r="E16" s="16">
        <f>'Forecasted Equity Statement'!D17</f>
        <v>15764410.22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>
      <c r="A17" s="14" t="s">
        <v>155</v>
      </c>
      <c r="B17" s="16">
        <f t="shared" ref="B17:E17" si="4">sum(B15:B16)</f>
        <v>100931124.5</v>
      </c>
      <c r="C17" s="16">
        <f t="shared" si="4"/>
        <v>112176230.9</v>
      </c>
      <c r="D17" s="16">
        <f t="shared" si="4"/>
        <v>79473293.62</v>
      </c>
      <c r="E17" s="16">
        <f t="shared" si="4"/>
        <v>91618943.02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>
      <c r="A19" s="14" t="s">
        <v>156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>
      <c r="A20" s="14" t="s">
        <v>157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>
      <c r="A21" s="17" t="s">
        <v>158</v>
      </c>
      <c r="B21" s="16">
        <v>2010223.0</v>
      </c>
      <c r="C21" s="16">
        <f>'Forecasting-Calcs1'!H17</f>
        <v>5010223</v>
      </c>
      <c r="D21" s="16">
        <f>'Forecasting-Calcs1'!I17</f>
        <v>5010223</v>
      </c>
      <c r="E21" s="16">
        <f>'Forecasting-Calcs1'!J17</f>
        <v>5010223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>
      <c r="A22" s="14" t="s">
        <v>159</v>
      </c>
      <c r="B22" s="16">
        <v>2010223.0</v>
      </c>
      <c r="C22" s="16">
        <f t="shared" ref="C22:E22" si="5">C21</f>
        <v>5010223</v>
      </c>
      <c r="D22" s="16">
        <f t="shared" si="5"/>
        <v>5010223</v>
      </c>
      <c r="E22" s="16">
        <f t="shared" si="5"/>
        <v>5010223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>
      <c r="A24" s="14" t="s">
        <v>160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>
      <c r="A25" s="17" t="s">
        <v>65</v>
      </c>
      <c r="B25" s="16">
        <v>1.0921714050026417E7</v>
      </c>
      <c r="C25" s="24">
        <f>'Assumptions-Forecasting'!$D8*'Forecasted Quarterly Profit &amp; L'!C3</f>
        <v>11331915.64</v>
      </c>
      <c r="D25" s="24">
        <f>'Assumptions-Forecasting'!$D8*'Forecasted Quarterly Profit &amp; L'!D3</f>
        <v>11764589.94</v>
      </c>
      <c r="E25" s="24">
        <f>'Assumptions-Forecasting'!$D8*'Forecasted Quarterly Profit &amp; L'!E3</f>
        <v>12213784.59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>
      <c r="A26" s="17" t="s">
        <v>66</v>
      </c>
      <c r="B26" s="16">
        <v>51348.0</v>
      </c>
      <c r="C26" s="24">
        <f>'Assumptions-Forecasting'!$D9*'Forecasted Quarterly Profit &amp; L'!C5</f>
        <v>56462.02164</v>
      </c>
      <c r="D26" s="24">
        <f>'Assumptions-Forecasting'!$D9*'Forecasted Quarterly Profit &amp; L'!D5</f>
        <v>58617.85008</v>
      </c>
      <c r="E26" s="24">
        <f>'Assumptions-Forecasting'!$D9*'Forecasted Quarterly Profit &amp; L'!E5</f>
        <v>60855.99219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>
      <c r="A27" s="14" t="s">
        <v>161</v>
      </c>
      <c r="B27" s="16">
        <v>1.0973062050026417E7</v>
      </c>
      <c r="C27" s="24">
        <f t="shared" ref="C27:E27" si="6">SUM(C25:C26)</f>
        <v>11388377.66</v>
      </c>
      <c r="D27" s="24">
        <f t="shared" si="6"/>
        <v>11823207.79</v>
      </c>
      <c r="E27" s="24">
        <f t="shared" si="6"/>
        <v>12274640.58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>
      <c r="A28" s="14" t="s">
        <v>162</v>
      </c>
      <c r="B28" s="16">
        <v>1.2983285050026417E7</v>
      </c>
      <c r="C28" s="24">
        <f t="shared" ref="C28:E28" si="7">C27+C22</f>
        <v>16398600.66</v>
      </c>
      <c r="D28" s="24">
        <f t="shared" si="7"/>
        <v>16833430.79</v>
      </c>
      <c r="E28" s="24">
        <f t="shared" si="7"/>
        <v>17284863.58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>
      <c r="A30" s="14" t="s">
        <v>163</v>
      </c>
      <c r="B30" s="16">
        <f>B28+B17</f>
        <v>113914409.6</v>
      </c>
      <c r="C30" s="16">
        <f t="shared" ref="C30:E30" si="8">C17+C28</f>
        <v>128574831.6</v>
      </c>
      <c r="D30" s="16">
        <f t="shared" si="8"/>
        <v>96306724.41</v>
      </c>
      <c r="E30" s="16">
        <f t="shared" si="8"/>
        <v>108903806.6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>
      <c r="A31" s="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>
      <c r="A32" s="14" t="s">
        <v>164</v>
      </c>
      <c r="B32" s="16">
        <f>B12-B30</f>
        <v>0</v>
      </c>
      <c r="C32" s="16">
        <f t="shared" ref="C32:E32" si="9">C30-C12</f>
        <v>-0.00000001490116119</v>
      </c>
      <c r="D32" s="16">
        <f t="shared" si="9"/>
        <v>-0.00000001490116119</v>
      </c>
      <c r="E32" s="16">
        <f t="shared" si="9"/>
        <v>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</cols>
  <sheetData>
    <row r="1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32</v>
      </c>
      <c r="B2" s="16">
        <v>2.6484047421875E7</v>
      </c>
      <c r="C2" s="16">
        <v>2.7424744783885326E7</v>
      </c>
      <c r="D2" s="16">
        <v>2.8407343824515507E7</v>
      </c>
      <c r="E2" s="16">
        <v>2.9433977455313794E7</v>
      </c>
      <c r="F2" s="16">
        <v>3.0506895279330574E7</v>
      </c>
      <c r="G2" s="16">
        <v>3.162847023673491E7</v>
      </c>
      <c r="H2" s="16">
        <v>3.2801205638005152E7</v>
      </c>
      <c r="I2" s="16">
        <v>3.4027742607636325E7</v>
      </c>
      <c r="J2" s="16">
        <v>3.5310867962678514E7</v>
      </c>
      <c r="K2" s="16">
        <v>3.665352255187459E7</v>
      </c>
      <c r="L2" s="16">
        <v>3.80588100827067E7</v>
      </c>
      <c r="M2" s="16">
        <v>3.953000646529575E7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33</v>
      </c>
      <c r="B3" s="16">
        <v>1.58914564734375E7</v>
      </c>
      <c r="C3" s="16">
        <v>1.6464698172395807E7</v>
      </c>
      <c r="D3" s="16">
        <v>1.7063861445234448E7</v>
      </c>
      <c r="E3" s="16">
        <v>1.7690279196999952E7</v>
      </c>
      <c r="F3" s="16">
        <v>1.8345357665739913E7</v>
      </c>
      <c r="G3" s="16">
        <v>1.903058061023753E7</v>
      </c>
      <c r="H3" s="16">
        <v>1.9747513742255352E7</v>
      </c>
      <c r="I3" s="16">
        <v>2.0497809417767204E7</v>
      </c>
      <c r="J3" s="16">
        <v>2.128321160252282E7</v>
      </c>
      <c r="K3" s="16">
        <v>2.2105561128207266E7</v>
      </c>
      <c r="L3" s="16">
        <v>2.2966801256430037E7</v>
      </c>
      <c r="M3" s="16">
        <v>2.3868983568810128E7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34</v>
      </c>
      <c r="B4" s="16">
        <v>1.0592590948437499E7</v>
      </c>
      <c r="C4" s="16">
        <v>1.096004661148952E7</v>
      </c>
      <c r="D4" s="16">
        <v>1.1343482379281059E7</v>
      </c>
      <c r="E4" s="16">
        <v>1.1743698258313838E7</v>
      </c>
      <c r="F4" s="16">
        <v>1.2161537613590661E7</v>
      </c>
      <c r="G4" s="16">
        <v>1.259788962649738E7</v>
      </c>
      <c r="H4" s="16">
        <v>1.3053691895749802E7</v>
      </c>
      <c r="I4" s="16">
        <v>1.3529933189869117E7</v>
      </c>
      <c r="J4" s="16">
        <v>1.4027656360155694E7</v>
      </c>
      <c r="K4" s="16">
        <v>1.454796142366733E7</v>
      </c>
      <c r="L4" s="16">
        <v>1.509200882627666E7</v>
      </c>
      <c r="M4" s="16">
        <v>1.5661022896485616E7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35</v>
      </c>
      <c r="B5" s="16">
        <v>308334.0</v>
      </c>
      <c r="C5" s="16">
        <v>308334.0</v>
      </c>
      <c r="D5" s="16">
        <v>308334.0</v>
      </c>
      <c r="E5" s="16">
        <v>308334.0</v>
      </c>
      <c r="F5" s="16">
        <v>308334.0</v>
      </c>
      <c r="G5" s="16">
        <v>308334.0</v>
      </c>
      <c r="H5" s="16">
        <v>308334.0</v>
      </c>
      <c r="I5" s="16">
        <v>308334.0</v>
      </c>
      <c r="J5" s="16">
        <v>308334.0</v>
      </c>
      <c r="K5" s="16">
        <v>308334.0</v>
      </c>
      <c r="L5" s="16">
        <v>308334.0</v>
      </c>
      <c r="M5" s="16">
        <v>308334.0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 t="s">
        <v>36</v>
      </c>
      <c r="B6" s="16">
        <v>1.0284256948437499E7</v>
      </c>
      <c r="C6" s="16">
        <v>1.065171261148952E7</v>
      </c>
      <c r="D6" s="16">
        <v>1.1035148379281059E7</v>
      </c>
      <c r="E6" s="16">
        <v>1.1435364258313838E7</v>
      </c>
      <c r="F6" s="16">
        <v>1.1853203613590661E7</v>
      </c>
      <c r="G6" s="16">
        <v>1.228955562649738E7</v>
      </c>
      <c r="H6" s="16">
        <v>1.2745357895749802E7</v>
      </c>
      <c r="I6" s="16">
        <v>1.3221599189869117E7</v>
      </c>
      <c r="J6" s="16">
        <v>1.3719322360155694E7</v>
      </c>
      <c r="K6" s="16">
        <v>1.423962742366733E7</v>
      </c>
      <c r="L6" s="16">
        <v>1.478367482627666E7</v>
      </c>
      <c r="M6" s="16">
        <v>1.5352688896485616E7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37</v>
      </c>
      <c r="B7" s="16">
        <v>164185.7142857143</v>
      </c>
      <c r="C7" s="16">
        <v>164185.7142857143</v>
      </c>
      <c r="D7" s="16">
        <v>164185.7142857143</v>
      </c>
      <c r="E7" s="16">
        <v>164185.7142857143</v>
      </c>
      <c r="F7" s="16">
        <v>164185.7142857143</v>
      </c>
      <c r="G7" s="16">
        <v>164185.7142857143</v>
      </c>
      <c r="H7" s="16">
        <v>164185.7142857143</v>
      </c>
      <c r="I7" s="16">
        <v>164185.7142857143</v>
      </c>
      <c r="J7" s="16">
        <v>164185.7142857143</v>
      </c>
      <c r="K7" s="16">
        <v>164185.7142857143</v>
      </c>
      <c r="L7" s="16">
        <v>164185.7142857143</v>
      </c>
      <c r="M7" s="16">
        <v>164185.7142857143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 t="s">
        <v>38</v>
      </c>
      <c r="B8" s="16">
        <v>1.0120071234151784E7</v>
      </c>
      <c r="C8" s="16">
        <v>1.0487526897203805E7</v>
      </c>
      <c r="D8" s="16">
        <v>1.0870962664995344E7</v>
      </c>
      <c r="E8" s="16">
        <v>1.1271178544028126E7</v>
      </c>
      <c r="F8" s="16">
        <v>1.1689017899304947E7</v>
      </c>
      <c r="G8" s="16">
        <v>1.2125369912211666E7</v>
      </c>
      <c r="H8" s="16">
        <v>1.2581172181464087E7</v>
      </c>
      <c r="I8" s="16">
        <v>1.30574134755834E7</v>
      </c>
      <c r="J8" s="16">
        <v>1.3555136645869981E7</v>
      </c>
      <c r="K8" s="16">
        <v>1.4075441709381614E7</v>
      </c>
      <c r="L8" s="16">
        <v>1.4619489111990944E7</v>
      </c>
      <c r="M8" s="16">
        <v>1.51885031821999E7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39</v>
      </c>
      <c r="B9" s="16">
        <v>0.0</v>
      </c>
      <c r="C9" s="16">
        <v>12634.561250000002</v>
      </c>
      <c r="D9" s="16">
        <v>21106.77725</v>
      </c>
      <c r="E9" s="16">
        <v>32907.55775</v>
      </c>
      <c r="F9" s="16">
        <v>36689.894</v>
      </c>
      <c r="G9" s="16">
        <v>96614.43516666666</v>
      </c>
      <c r="H9" s="16">
        <v>92402.91475000001</v>
      </c>
      <c r="I9" s="16">
        <v>83930.69875000001</v>
      </c>
      <c r="J9" s="16">
        <v>75912.25450000001</v>
      </c>
      <c r="K9" s="16">
        <v>68347.58200000001</v>
      </c>
      <c r="L9" s="16">
        <v>68347.58200000001</v>
      </c>
      <c r="M9" s="16">
        <v>68347.58200000001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 t="s">
        <v>40</v>
      </c>
      <c r="B10" s="16">
        <v>1.0120071234151784E7</v>
      </c>
      <c r="C10" s="16">
        <v>1.0474892335953806E7</v>
      </c>
      <c r="D10" s="16">
        <v>1.0849855887745345E7</v>
      </c>
      <c r="E10" s="16">
        <v>1.1238270986278126E7</v>
      </c>
      <c r="F10" s="16">
        <v>1.1652328005304947E7</v>
      </c>
      <c r="G10" s="16">
        <v>1.2028755477045E7</v>
      </c>
      <c r="H10" s="16">
        <v>1.2488769266714087E7</v>
      </c>
      <c r="I10" s="16">
        <v>1.29734827768334E7</v>
      </c>
      <c r="J10" s="16">
        <v>1.347922439136998E7</v>
      </c>
      <c r="K10" s="16">
        <v>1.4007094127381615E7</v>
      </c>
      <c r="L10" s="16">
        <v>1.4551141529990945E7</v>
      </c>
      <c r="M10" s="16">
        <v>1.51201556001999E7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41</v>
      </c>
      <c r="B11" s="16">
        <v>2772899.5181575892</v>
      </c>
      <c r="C11" s="16">
        <v>2870120.500051343</v>
      </c>
      <c r="D11" s="16">
        <v>2972860.5132422247</v>
      </c>
      <c r="E11" s="16">
        <v>3079286.2502402067</v>
      </c>
      <c r="F11" s="16">
        <v>3192737.8734535556</v>
      </c>
      <c r="G11" s="16">
        <v>3295879.00071033</v>
      </c>
      <c r="H11" s="16">
        <v>3421922.77907966</v>
      </c>
      <c r="I11" s="16">
        <v>3554734.2808523523</v>
      </c>
      <c r="J11" s="16">
        <v>3693307.483235375</v>
      </c>
      <c r="K11" s="16">
        <v>3837943.7909025624</v>
      </c>
      <c r="L11" s="16">
        <v>3987012.779217519</v>
      </c>
      <c r="M11" s="16">
        <v>4142922.634454773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 t="s">
        <v>42</v>
      </c>
      <c r="B12" s="16">
        <v>7347171.715994195</v>
      </c>
      <c r="C12" s="16">
        <v>7604771.835902462</v>
      </c>
      <c r="D12" s="16">
        <v>7876995.37450312</v>
      </c>
      <c r="E12" s="16">
        <v>8158984.736037918</v>
      </c>
      <c r="F12" s="16">
        <v>8459590.13185139</v>
      </c>
      <c r="G12" s="16">
        <v>8732876.476334669</v>
      </c>
      <c r="H12" s="16">
        <v>9066846.487634428</v>
      </c>
      <c r="I12" s="16">
        <v>9418748.495981049</v>
      </c>
      <c r="J12" s="16">
        <v>9785916.908134604</v>
      </c>
      <c r="K12" s="16">
        <v>1.0169150336479053E7</v>
      </c>
      <c r="L12" s="16">
        <v>1.0564128750773426E7</v>
      </c>
      <c r="M12" s="16">
        <v>1.0977232965745127E7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</cols>
  <sheetData>
    <row r="1">
      <c r="A1" s="14" t="s">
        <v>19</v>
      </c>
      <c r="B1" s="15" t="s">
        <v>31</v>
      </c>
      <c r="C1" s="15" t="s">
        <v>43</v>
      </c>
      <c r="D1" s="15" t="s">
        <v>44</v>
      </c>
      <c r="E1" s="15" t="s">
        <v>45</v>
      </c>
      <c r="F1" s="16"/>
      <c r="G1" s="16"/>
      <c r="H1" s="16"/>
      <c r="I1" s="16"/>
      <c r="J1" s="16"/>
      <c r="K1" s="16"/>
      <c r="L1" s="16"/>
      <c r="M1" s="16"/>
      <c r="N1" s="16"/>
      <c r="O1" s="16"/>
    </row>
    <row r="2">
      <c r="A2" s="17" t="s">
        <v>32</v>
      </c>
      <c r="B2" s="16">
        <v>3.953000646529575E7</v>
      </c>
      <c r="C2" s="16">
        <f>B2*(1+'Assumptions-Forecasting'!$D3)</f>
        <v>41039338.04</v>
      </c>
      <c r="D2" s="16">
        <f>C2*(1+'Assumptions-Forecasting'!$D3)</f>
        <v>42606298.8</v>
      </c>
      <c r="E2" s="16">
        <f>D2*(1+'Assumptions-Forecasting'!$D3)</f>
        <v>44233089.13</v>
      </c>
      <c r="F2" s="16"/>
      <c r="G2" s="16"/>
      <c r="H2" s="16"/>
      <c r="I2" s="16"/>
      <c r="J2" s="16"/>
      <c r="K2" s="16"/>
      <c r="L2" s="16"/>
      <c r="M2" s="16"/>
      <c r="N2" s="16"/>
      <c r="O2" s="16"/>
    </row>
    <row r="3">
      <c r="A3" s="17" t="s">
        <v>33</v>
      </c>
      <c r="B3" s="16">
        <v>2.3868983568810128E7</v>
      </c>
      <c r="C3" s="16">
        <f>C2*'Assumptions-Forecasting'!$D4</f>
        <v>24765463.27</v>
      </c>
      <c r="D3" s="16">
        <f>D2*'Assumptions-Forecasting'!$D4</f>
        <v>25711056.23</v>
      </c>
      <c r="E3" s="16">
        <f>E2*'Assumptions-Forecasting'!$D4</f>
        <v>26692753.74</v>
      </c>
      <c r="F3" s="16"/>
      <c r="G3" s="16"/>
      <c r="H3" s="16"/>
      <c r="I3" s="16"/>
      <c r="J3" s="16"/>
      <c r="K3" s="16"/>
      <c r="L3" s="16"/>
      <c r="M3" s="16"/>
      <c r="N3" s="16"/>
      <c r="O3" s="16"/>
    </row>
    <row r="4">
      <c r="A4" s="14" t="s">
        <v>34</v>
      </c>
      <c r="B4" s="16">
        <v>1.5661022896485616E7</v>
      </c>
      <c r="C4" s="16">
        <f t="shared" ref="C4:E4" si="1">C2-C3</f>
        <v>16273874.78</v>
      </c>
      <c r="D4" s="16">
        <f t="shared" si="1"/>
        <v>16895242.57</v>
      </c>
      <c r="E4" s="16">
        <f t="shared" si="1"/>
        <v>17540335.39</v>
      </c>
      <c r="F4" s="16"/>
      <c r="G4" s="16"/>
      <c r="H4" s="16"/>
      <c r="I4" s="16"/>
      <c r="J4" s="16"/>
      <c r="K4" s="16"/>
      <c r="L4" s="16"/>
      <c r="M4" s="16"/>
      <c r="N4" s="16"/>
      <c r="O4" s="16"/>
    </row>
    <row r="5">
      <c r="A5" s="17" t="s">
        <v>35</v>
      </c>
      <c r="B5" s="16">
        <v>308334.0</v>
      </c>
      <c r="C5" s="16">
        <f>C2*'Assumptions-Forecasting'!$D5</f>
        <v>339042.6303</v>
      </c>
      <c r="D5" s="16">
        <f>D2*'Assumptions-Forecasting'!$D5</f>
        <v>351987.9292</v>
      </c>
      <c r="E5" s="16">
        <f>E2*'Assumptions-Forecasting'!$D5</f>
        <v>365427.5044</v>
      </c>
      <c r="F5" s="16"/>
      <c r="G5" s="16"/>
      <c r="H5" s="16"/>
      <c r="I5" s="16"/>
      <c r="J5" s="16"/>
      <c r="K5" s="16"/>
      <c r="L5" s="16"/>
      <c r="M5" s="16"/>
      <c r="N5" s="16"/>
      <c r="O5" s="16"/>
    </row>
    <row r="6">
      <c r="A6" s="14" t="s">
        <v>36</v>
      </c>
      <c r="B6" s="16">
        <v>1.5352688896485616E7</v>
      </c>
      <c r="C6" s="18">
        <f t="shared" ref="C6:E6" si="2">C4-C5</f>
        <v>15934832.15</v>
      </c>
      <c r="D6" s="18">
        <f t="shared" si="2"/>
        <v>16543254.65</v>
      </c>
      <c r="E6" s="18">
        <f t="shared" si="2"/>
        <v>17174907.88</v>
      </c>
      <c r="F6" s="16"/>
      <c r="G6" s="16"/>
      <c r="H6" s="16"/>
      <c r="I6" s="16"/>
      <c r="J6" s="16"/>
      <c r="K6" s="16"/>
      <c r="L6" s="16"/>
      <c r="M6" s="16"/>
      <c r="N6" s="16"/>
      <c r="O6" s="16"/>
    </row>
    <row r="7">
      <c r="A7" s="17" t="s">
        <v>37</v>
      </c>
      <c r="B7" s="16">
        <v>164185.7142857143</v>
      </c>
      <c r="C7" s="19">
        <f>'Forecasting-Calcs1'!B26</f>
        <v>276998.0952</v>
      </c>
      <c r="D7" s="19">
        <f>'Forecasting-Calcs1'!C26</f>
        <v>276998.0952</v>
      </c>
      <c r="E7" s="19">
        <f>'Forecasting-Calcs1'!D26</f>
        <v>276998.0952</v>
      </c>
      <c r="F7" s="16"/>
      <c r="G7" s="16"/>
      <c r="H7" s="16"/>
      <c r="I7" s="16"/>
      <c r="J7" s="16"/>
      <c r="K7" s="16"/>
      <c r="L7" s="16"/>
      <c r="M7" s="16"/>
      <c r="N7" s="16"/>
      <c r="O7" s="16"/>
    </row>
    <row r="8">
      <c r="A8" s="14" t="s">
        <v>38</v>
      </c>
      <c r="B8" s="16">
        <v>1.51885031821999E7</v>
      </c>
      <c r="C8" s="19">
        <f t="shared" ref="C8:E8" si="3">C6-C7</f>
        <v>15657834.05</v>
      </c>
      <c r="D8" s="19">
        <f t="shared" si="3"/>
        <v>16266256.55</v>
      </c>
      <c r="E8" s="19">
        <f t="shared" si="3"/>
        <v>16897909.79</v>
      </c>
      <c r="F8" s="16"/>
      <c r="G8" s="16"/>
      <c r="H8" s="16"/>
      <c r="I8" s="16"/>
      <c r="J8" s="16"/>
      <c r="K8" s="16"/>
      <c r="L8" s="16"/>
      <c r="M8" s="16"/>
      <c r="N8" s="16"/>
      <c r="O8" s="16"/>
    </row>
    <row r="9">
      <c r="A9" s="17" t="s">
        <v>39</v>
      </c>
      <c r="B9" s="16">
        <v>68347.58200000001</v>
      </c>
      <c r="C9" s="19">
        <f>'Forecasting-Calcs1'!H22</f>
        <v>172972.582</v>
      </c>
      <c r="D9" s="19">
        <f>'Forecasting-Calcs1'!I22</f>
        <v>172972.582</v>
      </c>
      <c r="E9" s="19">
        <f>'Forecasting-Calcs1'!J22</f>
        <v>172972.582</v>
      </c>
      <c r="F9" s="16"/>
      <c r="G9" s="16"/>
      <c r="H9" s="16"/>
      <c r="I9" s="16"/>
      <c r="J9" s="16"/>
      <c r="K9" s="16"/>
      <c r="L9" s="16"/>
      <c r="M9" s="16"/>
      <c r="N9" s="16"/>
      <c r="O9" s="16"/>
    </row>
    <row r="10">
      <c r="A10" s="14" t="s">
        <v>40</v>
      </c>
      <c r="B10" s="16">
        <v>1.51201556001999E7</v>
      </c>
      <c r="C10" s="19">
        <f t="shared" ref="C10:E10" si="4">C8-C9</f>
        <v>15484861.47</v>
      </c>
      <c r="D10" s="19">
        <f t="shared" si="4"/>
        <v>16093283.97</v>
      </c>
      <c r="E10" s="19">
        <f t="shared" si="4"/>
        <v>16724937.21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>
      <c r="A11" s="17" t="s">
        <v>41</v>
      </c>
      <c r="B11" s="16">
        <v>4142922.634454773</v>
      </c>
      <c r="C11" s="19">
        <f>C10*'Assumptions-Forecasting'!$B20</f>
        <v>4239755.07</v>
      </c>
      <c r="D11" s="19">
        <f>D10*'Assumptions-Forecasting'!$B20</f>
        <v>4406341.15</v>
      </c>
      <c r="E11" s="19">
        <f>E10*'Assumptions-Forecasting'!$B20</f>
        <v>4579287.807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>
      <c r="A12" s="14" t="s">
        <v>42</v>
      </c>
      <c r="B12" s="16">
        <v>1.0977232965745127E7</v>
      </c>
      <c r="C12" s="19">
        <f t="shared" ref="C12:E12" si="5">C10-C11</f>
        <v>11245106.4</v>
      </c>
      <c r="D12" s="19">
        <f t="shared" si="5"/>
        <v>11686942.82</v>
      </c>
      <c r="E12" s="19">
        <f t="shared" si="5"/>
        <v>12145649.4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</cols>
  <sheetData>
    <row r="1">
      <c r="A1" s="20" t="s">
        <v>46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32</v>
      </c>
      <c r="B2" s="16"/>
      <c r="C2" s="21">
        <f>('Quarterly Profit &amp; Loss'!C2-'Quarterly Profit &amp; Loss'!B2)/'Quarterly Profit &amp; Loss'!B2</f>
        <v>0.03551939577</v>
      </c>
      <c r="D2" s="21">
        <f>('Quarterly Profit &amp; Loss'!D2-'Quarterly Profit &amp; Loss'!C2)/'Quarterly Profit &amp; Loss'!C2</f>
        <v>0.03582892196</v>
      </c>
      <c r="E2" s="21">
        <f>('Quarterly Profit &amp; Loss'!E2-'Quarterly Profit &amp; Loss'!D2)/'Quarterly Profit &amp; Loss'!D2</f>
        <v>0.0361397263</v>
      </c>
      <c r="F2" s="21">
        <f>('Quarterly Profit &amp; Loss'!F2-'Quarterly Profit &amp; Loss'!E2)/'Quarterly Profit &amp; Loss'!E2</f>
        <v>0.03645167649</v>
      </c>
      <c r="G2" s="21">
        <f>('Quarterly Profit &amp; Loss'!G2-'Quarterly Profit &amp; Loss'!F2)/'Quarterly Profit &amp; Loss'!F2</f>
        <v>0.03676463787</v>
      </c>
      <c r="H2" s="21">
        <f>('Quarterly Profit &amp; Loss'!H2-'Quarterly Profit &amp; Loss'!G2)/'Quarterly Profit &amp; Loss'!G2</f>
        <v>0.03707847368</v>
      </c>
      <c r="I2" s="21">
        <f>('Quarterly Profit &amp; Loss'!I2-'Quarterly Profit &amp; Loss'!H2)/'Quarterly Profit &amp; Loss'!H2</f>
        <v>0.03739304534</v>
      </c>
      <c r="J2" s="21">
        <f>('Quarterly Profit &amp; Loss'!J2-'Quarterly Profit &amp; Loss'!I2)/'Quarterly Profit &amp; Loss'!I2</f>
        <v>0.03770821267</v>
      </c>
      <c r="K2" s="21">
        <f>('Quarterly Profit &amp; Loss'!K2-'Quarterly Profit &amp; Loss'!J2)/'Quarterly Profit &amp; Loss'!J2</f>
        <v>0.03802383421</v>
      </c>
      <c r="L2" s="21">
        <f>('Quarterly Profit &amp; Loss'!L2-'Quarterly Profit &amp; Loss'!K2)/'Quarterly Profit &amp; Loss'!K2</f>
        <v>0.03833976745</v>
      </c>
      <c r="M2" s="21">
        <f>('Quarterly Profit &amp; Loss'!M2-'Quarterly Profit &amp; Loss'!L2)/'Quarterly Profit &amp; Loss'!L2</f>
        <v>0.03865586915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33</v>
      </c>
      <c r="B3" s="16"/>
      <c r="C3" s="21">
        <f>('Quarterly Profit &amp; Loss'!C3-'Quarterly Profit &amp; Loss'!B3)/'Quarterly Profit &amp; Loss'!B3</f>
        <v>0.03607231973</v>
      </c>
      <c r="D3" s="21">
        <f>('Quarterly Profit &amp; Loss'!D3-'Quarterly Profit &amp; Loss'!C3)/'Quarterly Profit &amp; Loss'!C3</f>
        <v>0.03639078388</v>
      </c>
      <c r="E3" s="21">
        <f>('Quarterly Profit &amp; Loss'!E3-'Quarterly Profit &amp; Loss'!D3)/'Quarterly Profit &amp; Loss'!D3</f>
        <v>0.03671019914</v>
      </c>
      <c r="F3" s="21">
        <f>('Quarterly Profit &amp; Loss'!F3-'Quarterly Profit &amp; Loss'!E3)/'Quarterly Profit &amp; Loss'!E3</f>
        <v>0.03703042001</v>
      </c>
      <c r="G3" s="21">
        <f>('Quarterly Profit &amp; Loss'!G3-'Quarterly Profit &amp; Loss'!F3)/'Quarterly Profit &amp; Loss'!F3</f>
        <v>0.03735129928</v>
      </c>
      <c r="H3" s="21">
        <f>('Quarterly Profit &amp; Loss'!H3-'Quarterly Profit &amp; Loss'!G3)/'Quarterly Profit &amp; Loss'!G3</f>
        <v>0.03767268833</v>
      </c>
      <c r="I3" s="21">
        <f>('Quarterly Profit &amp; Loss'!I3-'Quarterly Profit &amp; Loss'!H3)/'Quarterly Profit &amp; Loss'!H3</f>
        <v>0.03799443744</v>
      </c>
      <c r="J3" s="21">
        <f>('Quarterly Profit &amp; Loss'!J3-'Quarterly Profit &amp; Loss'!I3)/'Quarterly Profit &amp; Loss'!I3</f>
        <v>0.0383163961</v>
      </c>
      <c r="K3" s="21">
        <f>('Quarterly Profit &amp; Loss'!K3-'Quarterly Profit &amp; Loss'!J3)/'Quarterly Profit &amp; Loss'!J3</f>
        <v>0.03863841327</v>
      </c>
      <c r="L3" s="21">
        <f>('Quarterly Profit &amp; Loss'!L3-'Quarterly Profit &amp; Loss'!K3)/'Quarterly Profit &amp; Loss'!K3</f>
        <v>0.03896033777</v>
      </c>
      <c r="M3" s="21">
        <f>('Quarterly Profit &amp; Loss'!M3-'Quarterly Profit &amp; Loss'!L3)/'Quarterly Profit &amp; Loss'!L3</f>
        <v>0.03928201852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34</v>
      </c>
      <c r="B4" s="16"/>
      <c r="C4" s="21">
        <f>('Quarterly Profit &amp; Loss'!C4-'Quarterly Profit &amp; Loss'!B4)/'Quarterly Profit &amp; Loss'!B4</f>
        <v>0.03468987567</v>
      </c>
      <c r="D4" s="21">
        <f>('Quarterly Profit &amp; Loss'!D4-'Quarterly Profit &amp; Loss'!C4)/'Quarterly Profit &amp; Loss'!C4</f>
        <v>0.03498486652</v>
      </c>
      <c r="E4" s="21">
        <f>('Quarterly Profit &amp; Loss'!E4-'Quarterly Profit &amp; Loss'!D4)/'Quarterly Profit &amp; Loss'!D4</f>
        <v>0.03528157101</v>
      </c>
      <c r="F4" s="21">
        <f>('Quarterly Profit &amp; Loss'!F4-'Quarterly Profit &amp; Loss'!E4)/'Quarterly Profit &amp; Loss'!E4</f>
        <v>0.03557987834</v>
      </c>
      <c r="G4" s="21">
        <f>('Quarterly Profit &amp; Loss'!G4-'Quarterly Profit &amp; Loss'!F4)/'Quarterly Profit &amp; Loss'!F4</f>
        <v>0.03587967466</v>
      </c>
      <c r="H4" s="21">
        <f>('Quarterly Profit &amp; Loss'!H4-'Quarterly Profit &amp; Loss'!G4)/'Quarterly Profit &amp; Loss'!G4</f>
        <v>0.0361808432</v>
      </c>
      <c r="I4" s="21">
        <f>('Quarterly Profit &amp; Loss'!I4-'Quarterly Profit &amp; Loss'!H4)/'Quarterly Profit &amp; Loss'!H4</f>
        <v>0.0364832645</v>
      </c>
      <c r="J4" s="21">
        <f>('Quarterly Profit &amp; Loss'!J4-'Quarterly Profit &amp; Loss'!I4)/'Quarterly Profit &amp; Loss'!I4</f>
        <v>0.03678681656</v>
      </c>
      <c r="K4" s="21">
        <f>('Quarterly Profit &amp; Loss'!K4-'Quarterly Profit &amp; Loss'!J4)/'Quarterly Profit &amp; Loss'!J4</f>
        <v>0.03709137508</v>
      </c>
      <c r="L4" s="21">
        <f>('Quarterly Profit &amp; Loss'!L4-'Quarterly Profit &amp; Loss'!K4)/'Quarterly Profit &amp; Loss'!K4</f>
        <v>0.03739681367</v>
      </c>
      <c r="M4" s="21">
        <f>('Quarterly Profit &amp; Loss'!M4-'Quarterly Profit &amp; Loss'!L4)/'Quarterly Profit &amp; Loss'!L4</f>
        <v>0.03770300407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35</v>
      </c>
      <c r="B5" s="16"/>
      <c r="C5" s="21">
        <f>('Quarterly Profit &amp; Loss'!C5-'Quarterly Profit &amp; Loss'!B5)/'Quarterly Profit &amp; Loss'!B5</f>
        <v>0</v>
      </c>
      <c r="D5" s="21">
        <f>('Quarterly Profit &amp; Loss'!D5-'Quarterly Profit &amp; Loss'!C5)/'Quarterly Profit &amp; Loss'!C5</f>
        <v>0</v>
      </c>
      <c r="E5" s="21">
        <f>('Quarterly Profit &amp; Loss'!E5-'Quarterly Profit &amp; Loss'!D5)/'Quarterly Profit &amp; Loss'!D5</f>
        <v>0</v>
      </c>
      <c r="F5" s="21">
        <f>('Quarterly Profit &amp; Loss'!F5-'Quarterly Profit &amp; Loss'!E5)/'Quarterly Profit &amp; Loss'!E5</f>
        <v>0</v>
      </c>
      <c r="G5" s="21">
        <f>('Quarterly Profit &amp; Loss'!G5-'Quarterly Profit &amp; Loss'!F5)/'Quarterly Profit &amp; Loss'!F5</f>
        <v>0</v>
      </c>
      <c r="H5" s="21">
        <f>('Quarterly Profit &amp; Loss'!H5-'Quarterly Profit &amp; Loss'!G5)/'Quarterly Profit &amp; Loss'!G5</f>
        <v>0</v>
      </c>
      <c r="I5" s="21">
        <f>('Quarterly Profit &amp; Loss'!I5-'Quarterly Profit &amp; Loss'!H5)/'Quarterly Profit &amp; Loss'!H5</f>
        <v>0</v>
      </c>
      <c r="J5" s="21">
        <f>('Quarterly Profit &amp; Loss'!J5-'Quarterly Profit &amp; Loss'!I5)/'Quarterly Profit &amp; Loss'!I5</f>
        <v>0</v>
      </c>
      <c r="K5" s="21">
        <f>('Quarterly Profit &amp; Loss'!K5-'Quarterly Profit &amp; Loss'!J5)/'Quarterly Profit &amp; Loss'!J5</f>
        <v>0</v>
      </c>
      <c r="L5" s="21">
        <f>('Quarterly Profit &amp; Loss'!L5-'Quarterly Profit &amp; Loss'!K5)/'Quarterly Profit &amp; Loss'!K5</f>
        <v>0</v>
      </c>
      <c r="M5" s="21">
        <f>('Quarterly Profit &amp; Loss'!M5-'Quarterly Profit &amp; Loss'!L5)/'Quarterly Profit &amp; Loss'!L5</f>
        <v>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 t="s">
        <v>36</v>
      </c>
      <c r="B6" s="16"/>
      <c r="C6" s="21">
        <f>('Quarterly Profit &amp; Loss'!C6-'Quarterly Profit &amp; Loss'!B6)/'Quarterly Profit &amp; Loss'!B6</f>
        <v>0.03572991854</v>
      </c>
      <c r="D6" s="21">
        <f>('Quarterly Profit &amp; Loss'!D6-'Quarterly Profit &amp; Loss'!C6)/'Quarterly Profit &amp; Loss'!C6</f>
        <v>0.03599756976</v>
      </c>
      <c r="E6" s="21">
        <f>('Quarterly Profit &amp; Loss'!E6-'Quarterly Profit &amp; Loss'!D6)/'Quarterly Profit &amp; Loss'!D6</f>
        <v>0.03626737632</v>
      </c>
      <c r="F6" s="21">
        <f>('Quarterly Profit &amp; Loss'!F6-'Quarterly Profit &amp; Loss'!E6)/'Quarterly Profit &amp; Loss'!E6</f>
        <v>0.03653922567</v>
      </c>
      <c r="G6" s="21">
        <f>('Quarterly Profit &amp; Loss'!G6-'Quarterly Profit &amp; Loss'!F6)/'Quarterly Profit &amp; Loss'!F6</f>
        <v>0.03681300239</v>
      </c>
      <c r="H6" s="21">
        <f>('Quarterly Profit &amp; Loss'!H6-'Quarterly Profit &amp; Loss'!G6)/'Quarterly Profit &amp; Loss'!G6</f>
        <v>0.03708858832</v>
      </c>
      <c r="I6" s="21">
        <f>('Quarterly Profit &amp; Loss'!I6-'Quarterly Profit &amp; Loss'!H6)/'Quarterly Profit &amp; Loss'!H6</f>
        <v>0.03736586277</v>
      </c>
      <c r="J6" s="21">
        <f>('Quarterly Profit &amp; Loss'!J6-'Quarterly Profit &amp; Loss'!I6)/'Quarterly Profit &amp; Loss'!I6</f>
        <v>0.03764470267</v>
      </c>
      <c r="K6" s="21">
        <f>('Quarterly Profit &amp; Loss'!K6-'Quarterly Profit &amp; Loss'!J6)/'Quarterly Profit &amp; Loss'!J6</f>
        <v>0.03792498273</v>
      </c>
      <c r="L6" s="21">
        <f>('Quarterly Profit &amp; Loss'!L6-'Quarterly Profit &amp; Loss'!K6)/'Quarterly Profit &amp; Loss'!K6</f>
        <v>0.03820657567</v>
      </c>
      <c r="M6" s="21">
        <f>('Quarterly Profit &amp; Loss'!M6-'Quarterly Profit &amp; Loss'!L6)/'Quarterly Profit &amp; Loss'!L6</f>
        <v>0.0384893524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37</v>
      </c>
      <c r="B7" s="16"/>
      <c r="C7" s="21">
        <f>('Quarterly Profit &amp; Loss'!C7-'Quarterly Profit &amp; Loss'!B7)/'Quarterly Profit &amp; Loss'!B7</f>
        <v>0</v>
      </c>
      <c r="D7" s="21">
        <f>('Quarterly Profit &amp; Loss'!D7-'Quarterly Profit &amp; Loss'!C7)/'Quarterly Profit &amp; Loss'!C7</f>
        <v>0</v>
      </c>
      <c r="E7" s="21">
        <f>('Quarterly Profit &amp; Loss'!E7-'Quarterly Profit &amp; Loss'!D7)/'Quarterly Profit &amp; Loss'!D7</f>
        <v>0</v>
      </c>
      <c r="F7" s="21">
        <f>('Quarterly Profit &amp; Loss'!F7-'Quarterly Profit &amp; Loss'!E7)/'Quarterly Profit &amp; Loss'!E7</f>
        <v>0</v>
      </c>
      <c r="G7" s="21">
        <f>('Quarterly Profit &amp; Loss'!G7-'Quarterly Profit &amp; Loss'!F7)/'Quarterly Profit &amp; Loss'!F7</f>
        <v>0</v>
      </c>
      <c r="H7" s="21">
        <f>('Quarterly Profit &amp; Loss'!H7-'Quarterly Profit &amp; Loss'!G7)/'Quarterly Profit &amp; Loss'!G7</f>
        <v>0</v>
      </c>
      <c r="I7" s="21">
        <f>('Quarterly Profit &amp; Loss'!I7-'Quarterly Profit &amp; Loss'!H7)/'Quarterly Profit &amp; Loss'!H7</f>
        <v>0</v>
      </c>
      <c r="J7" s="21">
        <f>('Quarterly Profit &amp; Loss'!J7-'Quarterly Profit &amp; Loss'!I7)/'Quarterly Profit &amp; Loss'!I7</f>
        <v>0</v>
      </c>
      <c r="K7" s="21">
        <f>('Quarterly Profit &amp; Loss'!K7-'Quarterly Profit &amp; Loss'!J7)/'Quarterly Profit &amp; Loss'!J7</f>
        <v>0</v>
      </c>
      <c r="L7" s="21">
        <f>('Quarterly Profit &amp; Loss'!L7-'Quarterly Profit &amp; Loss'!K7)/'Quarterly Profit &amp; Loss'!K7</f>
        <v>0</v>
      </c>
      <c r="M7" s="21">
        <f>('Quarterly Profit &amp; Loss'!M7-'Quarterly Profit &amp; Loss'!L7)/'Quarterly Profit &amp; Loss'!L7</f>
        <v>0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 t="s">
        <v>38</v>
      </c>
      <c r="B8" s="16"/>
      <c r="C8" s="21">
        <f>('Quarterly Profit &amp; Loss'!C8-'Quarterly Profit &amp; Loss'!B8)/'Quarterly Profit &amp; Loss'!B8</f>
        <v>0.03630959255</v>
      </c>
      <c r="D8" s="21">
        <f>('Quarterly Profit &amp; Loss'!D8-'Quarterly Profit &amp; Loss'!C8)/'Quarterly Profit &amp; Loss'!C8</f>
        <v>0.03656112366</v>
      </c>
      <c r="E8" s="21">
        <f>('Quarterly Profit &amp; Loss'!E8-'Quarterly Profit &amp; Loss'!D8)/'Quarterly Profit &amp; Loss'!D8</f>
        <v>0.03681512773</v>
      </c>
      <c r="F8" s="21">
        <f>('Quarterly Profit &amp; Loss'!F8-'Quarterly Profit &amp; Loss'!E8)/'Quarterly Profit &amp; Loss'!E8</f>
        <v>0.03707148757</v>
      </c>
      <c r="G8" s="21">
        <f>('Quarterly Profit &amp; Loss'!G8-'Quarterly Profit &amp; Loss'!F8)/'Quarterly Profit &amp; Loss'!F8</f>
        <v>0.03733008339</v>
      </c>
      <c r="H8" s="21">
        <f>('Quarterly Profit &amp; Loss'!H8-'Quarterly Profit &amp; Loss'!G8)/'Quarterly Profit &amp; Loss'!G8</f>
        <v>0.0375907929</v>
      </c>
      <c r="I8" s="21">
        <f>('Quarterly Profit &amp; Loss'!I8-'Quarterly Profit &amp; Loss'!H8)/'Quarterly Profit &amp; Loss'!H8</f>
        <v>0.03785349149</v>
      </c>
      <c r="J8" s="21">
        <f>('Quarterly Profit &amp; Loss'!J8-'Quarterly Profit &amp; Loss'!I8)/'Quarterly Profit &amp; Loss'!I8</f>
        <v>0.03811805234</v>
      </c>
      <c r="K8" s="21">
        <f>('Quarterly Profit &amp; Loss'!K8-'Quarterly Profit &amp; Loss'!J8)/'Quarterly Profit &amp; Loss'!J8</f>
        <v>0.03838434662</v>
      </c>
      <c r="L8" s="21">
        <f>('Quarterly Profit &amp; Loss'!L8-'Quarterly Profit &amp; Loss'!K8)/'Quarterly Profit &amp; Loss'!K8</f>
        <v>0.03865224366</v>
      </c>
      <c r="M8" s="21">
        <f>('Quarterly Profit &amp; Loss'!M8-'Quarterly Profit &amp; Loss'!L8)/'Quarterly Profit &amp; Loss'!L8</f>
        <v>0.03892161113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39</v>
      </c>
      <c r="B9" s="16"/>
      <c r="C9" s="9" t="s">
        <v>47</v>
      </c>
      <c r="D9" s="21">
        <f>('Quarterly Profit &amp; Loss'!D9-'Quarterly Profit &amp; Loss'!C9)/'Quarterly Profit &amp; Loss'!C9</f>
        <v>0.6705587818</v>
      </c>
      <c r="E9" s="21">
        <f>('Quarterly Profit &amp; Loss'!E9-'Quarterly Profit &amp; Loss'!D9)/'Quarterly Profit &amp; Loss'!D9</f>
        <v>0.5590991159</v>
      </c>
      <c r="F9" s="21">
        <f>('Quarterly Profit &amp; Loss'!F9-'Quarterly Profit &amp; Loss'!E9)/'Quarterly Profit &amp; Loss'!E9</f>
        <v>0.1149382242</v>
      </c>
      <c r="G9" s="21">
        <f>('Quarterly Profit &amp; Loss'!G9-'Quarterly Profit &amp; Loss'!F9)/'Quarterly Profit &amp; Loss'!F9</f>
        <v>1.633271036</v>
      </c>
      <c r="H9" s="21">
        <f>('Quarterly Profit &amp; Loss'!H9-'Quarterly Profit &amp; Loss'!G9)/'Quarterly Profit &amp; Loss'!G9</f>
        <v>-0.04359100593</v>
      </c>
      <c r="I9" s="21">
        <f>('Quarterly Profit &amp; Loss'!I9-'Quarterly Profit &amp; Loss'!H9)/'Quarterly Profit &amp; Loss'!H9</f>
        <v>-0.09168775707</v>
      </c>
      <c r="J9" s="21">
        <f>('Quarterly Profit &amp; Loss'!J9-'Quarterly Profit &amp; Loss'!I9)/'Quarterly Profit &amp; Loss'!I9</f>
        <v>-0.09553648867</v>
      </c>
      <c r="K9" s="21">
        <f>('Quarterly Profit &amp; Loss'!K9-'Quarterly Profit &amp; Loss'!J9)/'Quarterly Profit &amp; Loss'!J9</f>
        <v>-0.09965021524</v>
      </c>
      <c r="L9" s="21">
        <f>('Quarterly Profit &amp; Loss'!L9-'Quarterly Profit &amp; Loss'!K9)/'Quarterly Profit &amp; Loss'!K9</f>
        <v>0</v>
      </c>
      <c r="M9" s="21">
        <f>('Quarterly Profit &amp; Loss'!M9-'Quarterly Profit &amp; Loss'!L9)/'Quarterly Profit &amp; Loss'!L9</f>
        <v>0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 t="s">
        <v>40</v>
      </c>
      <c r="B10" s="16"/>
      <c r="C10" s="21">
        <f>('Quarterly Profit &amp; Loss'!C10-'Quarterly Profit &amp; Loss'!B10)/'Quarterly Profit &amp; Loss'!B10</f>
        <v>0.0350611269</v>
      </c>
      <c r="D10" s="21">
        <f>('Quarterly Profit &amp; Loss'!D10-'Quarterly Profit &amp; Loss'!C10)/'Quarterly Profit &amp; Loss'!C10</f>
        <v>0.03579641105</v>
      </c>
      <c r="E10" s="21">
        <f>('Quarterly Profit &amp; Loss'!E10-'Quarterly Profit &amp; Loss'!D10)/'Quarterly Profit &amp; Loss'!D10</f>
        <v>0.03579910208</v>
      </c>
      <c r="F10" s="21">
        <f>('Quarterly Profit &amp; Loss'!F10-'Quarterly Profit &amp; Loss'!E10)/'Quarterly Profit &amp; Loss'!E10</f>
        <v>0.0368434806</v>
      </c>
      <c r="G10" s="21">
        <f>('Quarterly Profit &amp; Loss'!G10-'Quarterly Profit &amp; Loss'!F10)/'Quarterly Profit &amp; Loss'!F10</f>
        <v>0.03230491551</v>
      </c>
      <c r="H10" s="21">
        <f>('Quarterly Profit &amp; Loss'!H10-'Quarterly Profit &amp; Loss'!G10)/'Quarterly Profit &amp; Loss'!G10</f>
        <v>0.03824284154</v>
      </c>
      <c r="I10" s="21">
        <f>('Quarterly Profit &amp; Loss'!I10-'Quarterly Profit &amp; Loss'!H10)/'Quarterly Profit &amp; Loss'!H10</f>
        <v>0.03881195174</v>
      </c>
      <c r="J10" s="21">
        <f>('Quarterly Profit &amp; Loss'!J10-'Quarterly Profit &amp; Loss'!I10)/'Quarterly Profit &amp; Loss'!I10</f>
        <v>0.03898271754</v>
      </c>
      <c r="K10" s="21">
        <f>('Quarterly Profit &amp; Loss'!K10-'Quarterly Profit &amp; Loss'!J10)/'Quarterly Profit &amp; Loss'!J10</f>
        <v>0.03916172924</v>
      </c>
      <c r="L10" s="21">
        <f>('Quarterly Profit &amp; Loss'!L10-'Quarterly Profit &amp; Loss'!K10)/'Quarterly Profit &amp; Loss'!K10</f>
        <v>0.03884084719</v>
      </c>
      <c r="M10" s="21">
        <f>('Quarterly Profit &amp; Loss'!M10-'Quarterly Profit &amp; Loss'!L10)/'Quarterly Profit &amp; Loss'!L10</f>
        <v>0.03910442827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41</v>
      </c>
      <c r="B11" s="16"/>
      <c r="C11" s="21">
        <f>('Quarterly Profit &amp; Loss'!C11-'Quarterly Profit &amp; Loss'!B11)/'Quarterly Profit &amp; Loss'!B11</f>
        <v>0.0350611269</v>
      </c>
      <c r="D11" s="21">
        <f>('Quarterly Profit &amp; Loss'!D11-'Quarterly Profit &amp; Loss'!C11)/'Quarterly Profit &amp; Loss'!C11</f>
        <v>0.03579641105</v>
      </c>
      <c r="E11" s="21">
        <f>('Quarterly Profit &amp; Loss'!E11-'Quarterly Profit &amp; Loss'!D11)/'Quarterly Profit &amp; Loss'!D11</f>
        <v>0.03579910208</v>
      </c>
      <c r="F11" s="21">
        <f>('Quarterly Profit &amp; Loss'!F11-'Quarterly Profit &amp; Loss'!E11)/'Quarterly Profit &amp; Loss'!E11</f>
        <v>0.0368434806</v>
      </c>
      <c r="G11" s="21">
        <f>('Quarterly Profit &amp; Loss'!G11-'Quarterly Profit &amp; Loss'!F11)/'Quarterly Profit &amp; Loss'!F11</f>
        <v>0.03230491551</v>
      </c>
      <c r="H11" s="21">
        <f>('Quarterly Profit &amp; Loss'!H11-'Quarterly Profit &amp; Loss'!G11)/'Quarterly Profit &amp; Loss'!G11</f>
        <v>0.03824284154</v>
      </c>
      <c r="I11" s="21">
        <f>('Quarterly Profit &amp; Loss'!I11-'Quarterly Profit &amp; Loss'!H11)/'Quarterly Profit &amp; Loss'!H11</f>
        <v>0.03881195174</v>
      </c>
      <c r="J11" s="21">
        <f>('Quarterly Profit &amp; Loss'!J11-'Quarterly Profit &amp; Loss'!I11)/'Quarterly Profit &amp; Loss'!I11</f>
        <v>0.03898271754</v>
      </c>
      <c r="K11" s="21">
        <f>('Quarterly Profit &amp; Loss'!K11-'Quarterly Profit &amp; Loss'!J11)/'Quarterly Profit &amp; Loss'!J11</f>
        <v>0.03916172924</v>
      </c>
      <c r="L11" s="21">
        <f>('Quarterly Profit &amp; Loss'!L11-'Quarterly Profit &amp; Loss'!K11)/'Quarterly Profit &amp; Loss'!K11</f>
        <v>0.03884084719</v>
      </c>
      <c r="M11" s="21">
        <f>('Quarterly Profit &amp; Loss'!M11-'Quarterly Profit &amp; Loss'!L11)/'Quarterly Profit &amp; Loss'!L11</f>
        <v>0.03910442827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 t="s">
        <v>42</v>
      </c>
      <c r="B12" s="16"/>
      <c r="C12" s="21">
        <f>('Quarterly Profit &amp; Loss'!C12-'Quarterly Profit &amp; Loss'!B12)/'Quarterly Profit &amp; Loss'!B12</f>
        <v>0.0350611269</v>
      </c>
      <c r="D12" s="21">
        <f>('Quarterly Profit &amp; Loss'!D12-'Quarterly Profit &amp; Loss'!C12)/'Quarterly Profit &amp; Loss'!C12</f>
        <v>0.03579641105</v>
      </c>
      <c r="E12" s="21">
        <f>('Quarterly Profit &amp; Loss'!E12-'Quarterly Profit &amp; Loss'!D12)/'Quarterly Profit &amp; Loss'!D12</f>
        <v>0.03579910208</v>
      </c>
      <c r="F12" s="21">
        <f>('Quarterly Profit &amp; Loss'!F12-'Quarterly Profit &amp; Loss'!E12)/'Quarterly Profit &amp; Loss'!E12</f>
        <v>0.0368434806</v>
      </c>
      <c r="G12" s="21">
        <f>('Quarterly Profit &amp; Loss'!G12-'Quarterly Profit &amp; Loss'!F12)/'Quarterly Profit &amp; Loss'!F12</f>
        <v>0.03230491551</v>
      </c>
      <c r="H12" s="21">
        <f>('Quarterly Profit &amp; Loss'!H12-'Quarterly Profit &amp; Loss'!G12)/'Quarterly Profit &amp; Loss'!G12</f>
        <v>0.03824284154</v>
      </c>
      <c r="I12" s="21">
        <f>('Quarterly Profit &amp; Loss'!I12-'Quarterly Profit &amp; Loss'!H12)/'Quarterly Profit &amp; Loss'!H12</f>
        <v>0.03881195174</v>
      </c>
      <c r="J12" s="21">
        <f>('Quarterly Profit &amp; Loss'!J12-'Quarterly Profit &amp; Loss'!I12)/'Quarterly Profit &amp; Loss'!I12</f>
        <v>0.03898271754</v>
      </c>
      <c r="K12" s="21">
        <f>('Quarterly Profit &amp; Loss'!K12-'Quarterly Profit &amp; Loss'!J12)/'Quarterly Profit &amp; Loss'!J12</f>
        <v>0.03916172924</v>
      </c>
      <c r="L12" s="21">
        <f>('Quarterly Profit &amp; Loss'!L12-'Quarterly Profit &amp; Loss'!K12)/'Quarterly Profit &amp; Loss'!K12</f>
        <v>0.03884084719</v>
      </c>
      <c r="M12" s="21">
        <f>('Quarterly Profit &amp; Loss'!M12-'Quarterly Profit &amp; Loss'!L12)/'Quarterly Profit &amp; Loss'!L12</f>
        <v>0.03910442827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</cols>
  <sheetData>
    <row r="1">
      <c r="A1" s="20" t="s">
        <v>48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32</v>
      </c>
      <c r="B2" s="22">
        <f>'Quarterly Profit &amp; Loss'!B2/'Quarterly Profit &amp; Loss'!B$2</f>
        <v>1</v>
      </c>
      <c r="C2" s="22">
        <f>'Quarterly Profit &amp; Loss'!C2/'Quarterly Profit &amp; Loss'!C$2</f>
        <v>1</v>
      </c>
      <c r="D2" s="22">
        <f>'Quarterly Profit &amp; Loss'!D2/'Quarterly Profit &amp; Loss'!D$2</f>
        <v>1</v>
      </c>
      <c r="E2" s="22">
        <f>'Quarterly Profit &amp; Loss'!E2/'Quarterly Profit &amp; Loss'!E$2</f>
        <v>1</v>
      </c>
      <c r="F2" s="22">
        <f>'Quarterly Profit &amp; Loss'!F2/'Quarterly Profit &amp; Loss'!F$2</f>
        <v>1</v>
      </c>
      <c r="G2" s="22">
        <f>'Quarterly Profit &amp; Loss'!G2/'Quarterly Profit &amp; Loss'!G$2</f>
        <v>1</v>
      </c>
      <c r="H2" s="22">
        <f>'Quarterly Profit &amp; Loss'!H2/'Quarterly Profit &amp; Loss'!H$2</f>
        <v>1</v>
      </c>
      <c r="I2" s="22">
        <f>'Quarterly Profit &amp; Loss'!I2/'Quarterly Profit &amp; Loss'!I$2</f>
        <v>1</v>
      </c>
      <c r="J2" s="22">
        <f>'Quarterly Profit &amp; Loss'!J2/'Quarterly Profit &amp; Loss'!J$2</f>
        <v>1</v>
      </c>
      <c r="K2" s="22">
        <f>'Quarterly Profit &amp; Loss'!K2/'Quarterly Profit &amp; Loss'!K$2</f>
        <v>1</v>
      </c>
      <c r="L2" s="22">
        <f>'Quarterly Profit &amp; Loss'!L2/'Quarterly Profit &amp; Loss'!L$2</f>
        <v>1</v>
      </c>
      <c r="M2" s="22">
        <f>'Quarterly Profit &amp; Loss'!M2/'Quarterly Profit &amp; Loss'!M$2</f>
        <v>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 t="s">
        <v>33</v>
      </c>
      <c r="B3" s="22">
        <f>'Quarterly Profit &amp; Loss'!B3/'Quarterly Profit &amp; Loss'!B$2</f>
        <v>0.6000388166</v>
      </c>
      <c r="C3" s="22">
        <f>'Quarterly Profit &amp; Loss'!C3/'Quarterly Profit &amp; Loss'!C$2</f>
        <v>0.6003592122</v>
      </c>
      <c r="D3" s="22">
        <f>'Quarterly Profit &amp; Loss'!D3/'Quarterly Profit &amp; Loss'!D$2</f>
        <v>0.6006848634</v>
      </c>
      <c r="E3" s="22">
        <f>'Quarterly Profit &amp; Loss'!E3/'Quarterly Profit &amp; Loss'!E$2</f>
        <v>0.6010155856</v>
      </c>
      <c r="F3" s="22">
        <f>'Quarterly Profit &amp; Loss'!F3/'Quarterly Profit &amp; Loss'!F$2</f>
        <v>0.6013511863</v>
      </c>
      <c r="G3" s="22">
        <f>'Quarterly Profit &amp; Loss'!G3/'Quarterly Profit &amp; Loss'!G$2</f>
        <v>0.6016914656</v>
      </c>
      <c r="H3" s="22">
        <f>'Quarterly Profit &amp; Loss'!H3/'Quarterly Profit &amp; Loss'!H$2</f>
        <v>0.6020362166</v>
      </c>
      <c r="I3" s="22">
        <f>'Quarterly Profit &amp; Loss'!I3/'Quarterly Profit &amp; Loss'!I$2</f>
        <v>0.6023852259</v>
      </c>
      <c r="J3" s="22">
        <f>'Quarterly Profit &amp; Loss'!J3/'Quarterly Profit &amp; Loss'!J$2</f>
        <v>0.6027382738</v>
      </c>
      <c r="K3" s="22">
        <f>'Quarterly Profit &amp; Loss'!K3/'Quarterly Profit &amp; Loss'!K$2</f>
        <v>0.6030951349</v>
      </c>
      <c r="L3" s="22">
        <f>'Quarterly Profit &amp; Loss'!L3/'Quarterly Profit &amp; Loss'!L$2</f>
        <v>0.6034555785</v>
      </c>
      <c r="M3" s="22">
        <f>'Quarterly Profit &amp; Loss'!M3/'Quarterly Profit &amp; Loss'!M$2</f>
        <v>0.6038193692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34</v>
      </c>
      <c r="B4" s="22">
        <f>'Quarterly Profit &amp; Loss'!B4/'Quarterly Profit &amp; Loss'!B$2</f>
        <v>0.3999611834</v>
      </c>
      <c r="C4" s="22">
        <f>'Quarterly Profit &amp; Loss'!C4/'Quarterly Profit &amp; Loss'!C$2</f>
        <v>0.3996407878</v>
      </c>
      <c r="D4" s="22">
        <f>'Quarterly Profit &amp; Loss'!D4/'Quarterly Profit &amp; Loss'!D$2</f>
        <v>0.3993151366</v>
      </c>
      <c r="E4" s="22">
        <f>'Quarterly Profit &amp; Loss'!E4/'Quarterly Profit &amp; Loss'!E$2</f>
        <v>0.3989844144</v>
      </c>
      <c r="F4" s="22">
        <f>'Quarterly Profit &amp; Loss'!F4/'Quarterly Profit &amp; Loss'!F$2</f>
        <v>0.3986488137</v>
      </c>
      <c r="G4" s="22">
        <f>'Quarterly Profit &amp; Loss'!G4/'Quarterly Profit &amp; Loss'!G$2</f>
        <v>0.3983085344</v>
      </c>
      <c r="H4" s="22">
        <f>'Quarterly Profit &amp; Loss'!H4/'Quarterly Profit &amp; Loss'!H$2</f>
        <v>0.3979637834</v>
      </c>
      <c r="I4" s="22">
        <f>'Quarterly Profit &amp; Loss'!I4/'Quarterly Profit &amp; Loss'!I$2</f>
        <v>0.3976147741</v>
      </c>
      <c r="J4" s="22">
        <f>'Quarterly Profit &amp; Loss'!J4/'Quarterly Profit &amp; Loss'!J$2</f>
        <v>0.3972617262</v>
      </c>
      <c r="K4" s="22">
        <f>'Quarterly Profit &amp; Loss'!K4/'Quarterly Profit &amp; Loss'!K$2</f>
        <v>0.3969048651</v>
      </c>
      <c r="L4" s="22">
        <f>'Quarterly Profit &amp; Loss'!L4/'Quarterly Profit &amp; Loss'!L$2</f>
        <v>0.3965444215</v>
      </c>
      <c r="M4" s="22">
        <f>'Quarterly Profit &amp; Loss'!M4/'Quarterly Profit &amp; Loss'!M$2</f>
        <v>0.3961806308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35</v>
      </c>
      <c r="B5" s="22">
        <f>'Quarterly Profit &amp; Loss'!B5/'Quarterly Profit &amp; Loss'!B$2</f>
        <v>0.01164225373</v>
      </c>
      <c r="C5" s="22">
        <f>'Quarterly Profit &amp; Loss'!C5/'Quarterly Profit &amp; Loss'!C$2</f>
        <v>0.01124291228</v>
      </c>
      <c r="D5" s="22">
        <f>'Quarterly Profit &amp; Loss'!D5/'Quarterly Profit &amp; Loss'!D$2</f>
        <v>0.01085402429</v>
      </c>
      <c r="E5" s="22">
        <f>'Quarterly Profit &amp; Loss'!E5/'Quarterly Profit &amp; Loss'!E$2</f>
        <v>0.01047544459</v>
      </c>
      <c r="F5" s="22">
        <f>'Quarterly Profit &amp; Loss'!F5/'Quarterly Profit &amp; Loss'!F$2</f>
        <v>0.01010702653</v>
      </c>
      <c r="G5" s="22">
        <f>'Quarterly Profit &amp; Loss'!G5/'Quarterly Profit &amp; Loss'!G$2</f>
        <v>0.009748621975</v>
      </c>
      <c r="H5" s="22">
        <f>'Quarterly Profit &amp; Loss'!H5/'Quarterly Profit &amp; Loss'!H$2</f>
        <v>0.009400081308</v>
      </c>
      <c r="I5" s="22">
        <f>'Quarterly Profit &amp; Loss'!I5/'Quarterly Profit &amp; Loss'!I$2</f>
        <v>0.009061253447</v>
      </c>
      <c r="J5" s="22">
        <f>'Quarterly Profit &amp; Loss'!J5/'Quarterly Profit &amp; Loss'!J$2</f>
        <v>0.008731985867</v>
      </c>
      <c r="K5" s="22">
        <f>'Quarterly Profit &amp; Loss'!K5/'Quarterly Profit &amp; Loss'!K$2</f>
        <v>0.008412124635</v>
      </c>
      <c r="L5" s="22">
        <f>'Quarterly Profit &amp; Loss'!L5/'Quarterly Profit &amp; Loss'!L$2</f>
        <v>0.008101514454</v>
      </c>
      <c r="M5" s="22">
        <f>'Quarterly Profit &amp; Loss'!M5/'Quarterly Profit &amp; Loss'!M$2</f>
        <v>0.007799998724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 t="s">
        <v>36</v>
      </c>
      <c r="B6" s="22">
        <f>'Quarterly Profit &amp; Loss'!B6/'Quarterly Profit &amp; Loss'!B$2</f>
        <v>0.3883189297</v>
      </c>
      <c r="C6" s="22">
        <f>'Quarterly Profit &amp; Loss'!C6/'Quarterly Profit &amp; Loss'!C$2</f>
        <v>0.3883978755</v>
      </c>
      <c r="D6" s="22">
        <f>'Quarterly Profit &amp; Loss'!D6/'Quarterly Profit &amp; Loss'!D$2</f>
        <v>0.3884611123</v>
      </c>
      <c r="E6" s="22">
        <f>'Quarterly Profit &amp; Loss'!E6/'Quarterly Profit &amp; Loss'!E$2</f>
        <v>0.3885089698</v>
      </c>
      <c r="F6" s="22">
        <f>'Quarterly Profit &amp; Loss'!F6/'Quarterly Profit &amp; Loss'!F$2</f>
        <v>0.3885417872</v>
      </c>
      <c r="G6" s="22">
        <f>'Quarterly Profit &amp; Loss'!G6/'Quarterly Profit &amp; Loss'!G$2</f>
        <v>0.3885599125</v>
      </c>
      <c r="H6" s="22">
        <f>'Quarterly Profit &amp; Loss'!H6/'Quarterly Profit &amp; Loss'!H$2</f>
        <v>0.3885637021</v>
      </c>
      <c r="I6" s="22">
        <f>'Quarterly Profit &amp; Loss'!I6/'Quarterly Profit &amp; Loss'!I$2</f>
        <v>0.3885535206</v>
      </c>
      <c r="J6" s="22">
        <f>'Quarterly Profit &amp; Loss'!J6/'Quarterly Profit &amp; Loss'!J$2</f>
        <v>0.3885297403</v>
      </c>
      <c r="K6" s="22">
        <f>'Quarterly Profit &amp; Loss'!K6/'Quarterly Profit &amp; Loss'!K$2</f>
        <v>0.3884927405</v>
      </c>
      <c r="L6" s="22">
        <f>'Quarterly Profit &amp; Loss'!L6/'Quarterly Profit &amp; Loss'!L$2</f>
        <v>0.388442907</v>
      </c>
      <c r="M6" s="22">
        <f>'Quarterly Profit &amp; Loss'!M6/'Quarterly Profit &amp; Loss'!M$2</f>
        <v>0.3883806321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37</v>
      </c>
      <c r="B7" s="22">
        <f>'Quarterly Profit &amp; Loss'!B7/'Quarterly Profit &amp; Loss'!B$2</f>
        <v>0.006199419283</v>
      </c>
      <c r="C7" s="22">
        <f>'Quarterly Profit &amp; Loss'!C7/'Quarterly Profit &amp; Loss'!C$2</f>
        <v>0.005986772733</v>
      </c>
      <c r="D7" s="22">
        <f>'Quarterly Profit &amp; Loss'!D7/'Quarterly Profit &amp; Loss'!D$2</f>
        <v>0.005779692579</v>
      </c>
      <c r="E7" s="22">
        <f>'Quarterly Profit &amp; Loss'!E7/'Quarterly Profit &amp; Loss'!E$2</f>
        <v>0.005578101517</v>
      </c>
      <c r="F7" s="22">
        <f>'Quarterly Profit &amp; Loss'!F7/'Quarterly Profit &amp; Loss'!F$2</f>
        <v>0.005381921457</v>
      </c>
      <c r="G7" s="22">
        <f>'Quarterly Profit &amp; Loss'!G7/'Quarterly Profit &amp; Loss'!G$2</f>
        <v>0.005191073519</v>
      </c>
      <c r="H7" s="22">
        <f>'Quarterly Profit &amp; Loss'!H7/'Quarterly Profit &amp; Loss'!H$2</f>
        <v>0.005005478033</v>
      </c>
      <c r="I7" s="22">
        <f>'Quarterly Profit &amp; Loss'!I7/'Quarterly Profit &amp; Loss'!I$2</f>
        <v>0.00482505455</v>
      </c>
      <c r="J7" s="22">
        <f>'Quarterly Profit &amp; Loss'!J7/'Quarterly Profit &amp; Loss'!J$2</f>
        <v>0.004649721849</v>
      </c>
      <c r="K7" s="22">
        <f>'Quarterly Profit &amp; Loss'!K7/'Quarterly Profit &amp; Loss'!K$2</f>
        <v>0.004479397964</v>
      </c>
      <c r="L7" s="22">
        <f>'Quarterly Profit &amp; Loss'!L7/'Quarterly Profit &amp; Loss'!L$2</f>
        <v>0.004314000199</v>
      </c>
      <c r="M7" s="22">
        <f>'Quarterly Profit &amp; Loss'!M7/'Quarterly Profit &amp; Loss'!M$2</f>
        <v>0.004153445167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 t="s">
        <v>38</v>
      </c>
      <c r="B8" s="22">
        <f>'Quarterly Profit &amp; Loss'!B8/'Quarterly Profit &amp; Loss'!B$2</f>
        <v>0.3821195104</v>
      </c>
      <c r="C8" s="22">
        <f>'Quarterly Profit &amp; Loss'!C8/'Quarterly Profit &amp; Loss'!C$2</f>
        <v>0.3824111028</v>
      </c>
      <c r="D8" s="22">
        <f>'Quarterly Profit &amp; Loss'!D8/'Quarterly Profit &amp; Loss'!D$2</f>
        <v>0.3826814197</v>
      </c>
      <c r="E8" s="22">
        <f>'Quarterly Profit &amp; Loss'!E8/'Quarterly Profit &amp; Loss'!E$2</f>
        <v>0.3829308683</v>
      </c>
      <c r="F8" s="22">
        <f>'Quarterly Profit &amp; Loss'!F8/'Quarterly Profit &amp; Loss'!F$2</f>
        <v>0.3831598657</v>
      </c>
      <c r="G8" s="22">
        <f>'Quarterly Profit &amp; Loss'!G8/'Quarterly Profit &amp; Loss'!G$2</f>
        <v>0.3833688389</v>
      </c>
      <c r="H8" s="22">
        <f>'Quarterly Profit &amp; Loss'!H8/'Quarterly Profit &amp; Loss'!H$2</f>
        <v>0.3835582241</v>
      </c>
      <c r="I8" s="22">
        <f>'Quarterly Profit &amp; Loss'!I8/'Quarterly Profit &amp; Loss'!I$2</f>
        <v>0.3837284661</v>
      </c>
      <c r="J8" s="22">
        <f>'Quarterly Profit &amp; Loss'!J8/'Quarterly Profit &amp; Loss'!J$2</f>
        <v>0.3838800185</v>
      </c>
      <c r="K8" s="22">
        <f>'Quarterly Profit &amp; Loss'!K8/'Quarterly Profit &amp; Loss'!K$2</f>
        <v>0.3840133425</v>
      </c>
      <c r="L8" s="22">
        <f>'Quarterly Profit &amp; Loss'!L8/'Quarterly Profit &amp; Loss'!L$2</f>
        <v>0.3841289068</v>
      </c>
      <c r="M8" s="22">
        <f>'Quarterly Profit &amp; Loss'!M8/'Quarterly Profit &amp; Loss'!M$2</f>
        <v>0.3842271869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39</v>
      </c>
      <c r="B9" s="22">
        <f>'Quarterly Profit &amp; Loss'!B9/'Quarterly Profit &amp; Loss'!B$2</f>
        <v>0</v>
      </c>
      <c r="C9" s="22">
        <f>'Quarterly Profit &amp; Loss'!C9/'Quarterly Profit &amp; Loss'!C$2</f>
        <v>0.0004606993192</v>
      </c>
      <c r="D9" s="22">
        <f>'Quarterly Profit &amp; Loss'!D9/'Quarterly Profit &amp; Loss'!D$2</f>
        <v>0.000743004252</v>
      </c>
      <c r="E9" s="22">
        <f>'Quarterly Profit &amp; Loss'!E9/'Quarterly Profit &amp; Loss'!E$2</f>
        <v>0.001118012603</v>
      </c>
      <c r="F9" s="22">
        <f>'Quarterly Profit &amp; Loss'!F9/'Quarterly Profit &amp; Loss'!F$2</f>
        <v>0.00120267545</v>
      </c>
      <c r="G9" s="22">
        <f>'Quarterly Profit &amp; Loss'!G9/'Quarterly Profit &amp; Loss'!G$2</f>
        <v>0.003054666711</v>
      </c>
      <c r="H9" s="22">
        <f>'Quarterly Profit &amp; Loss'!H9/'Quarterly Profit &amp; Loss'!H$2</f>
        <v>0.002817058488</v>
      </c>
      <c r="I9" s="22">
        <f>'Quarterly Profit &amp; Loss'!I9/'Quarterly Profit &amp; Loss'!I$2</f>
        <v>0.00246653737</v>
      </c>
      <c r="J9" s="22">
        <f>'Quarterly Profit &amp; Loss'!J9/'Quarterly Profit &amp; Loss'!J$2</f>
        <v>0.00214982692</v>
      </c>
      <c r="K9" s="22">
        <f>'Quarterly Profit &amp; Loss'!K9/'Quarterly Profit &amp; Loss'!K$2</f>
        <v>0.001864693411</v>
      </c>
      <c r="L9" s="22">
        <f>'Quarterly Profit &amp; Loss'!L9/'Quarterly Profit &amp; Loss'!L$2</f>
        <v>0.001795841274</v>
      </c>
      <c r="M9" s="22">
        <f>'Quarterly Profit &amp; Loss'!M9/'Quarterly Profit &amp; Loss'!M$2</f>
        <v>0.00172900508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 t="s">
        <v>40</v>
      </c>
      <c r="B10" s="22">
        <f>'Quarterly Profit &amp; Loss'!B10/'Quarterly Profit &amp; Loss'!B$2</f>
        <v>0.3821195104</v>
      </c>
      <c r="C10" s="22">
        <f>'Quarterly Profit &amp; Loss'!C10/'Quarterly Profit &amp; Loss'!C$2</f>
        <v>0.3819504035</v>
      </c>
      <c r="D10" s="22">
        <f>'Quarterly Profit &amp; Loss'!D10/'Quarterly Profit &amp; Loss'!D$2</f>
        <v>0.3819384155</v>
      </c>
      <c r="E10" s="22">
        <f>'Quarterly Profit &amp; Loss'!E10/'Quarterly Profit &amp; Loss'!E$2</f>
        <v>0.3818128557</v>
      </c>
      <c r="F10" s="22">
        <f>'Quarterly Profit &amp; Loss'!F10/'Quarterly Profit &amp; Loss'!F$2</f>
        <v>0.3819571903</v>
      </c>
      <c r="G10" s="22">
        <f>'Quarterly Profit &amp; Loss'!G10/'Quarterly Profit &amp; Loss'!G$2</f>
        <v>0.3803141722</v>
      </c>
      <c r="H10" s="22">
        <f>'Quarterly Profit &amp; Loss'!H10/'Quarterly Profit &amp; Loss'!H$2</f>
        <v>0.3807411656</v>
      </c>
      <c r="I10" s="22">
        <f>'Quarterly Profit &amp; Loss'!I10/'Quarterly Profit &amp; Loss'!I$2</f>
        <v>0.3812619287</v>
      </c>
      <c r="J10" s="22">
        <f>'Quarterly Profit &amp; Loss'!J10/'Quarterly Profit &amp; Loss'!J$2</f>
        <v>0.3817301916</v>
      </c>
      <c r="K10" s="22">
        <f>'Quarterly Profit &amp; Loss'!K10/'Quarterly Profit &amp; Loss'!K$2</f>
        <v>0.3821486491</v>
      </c>
      <c r="L10" s="22">
        <f>'Quarterly Profit &amp; Loss'!L10/'Quarterly Profit &amp; Loss'!L$2</f>
        <v>0.3823330655</v>
      </c>
      <c r="M10" s="22">
        <f>'Quarterly Profit &amp; Loss'!M10/'Quarterly Profit &amp; Loss'!M$2</f>
        <v>0.3824981818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41</v>
      </c>
      <c r="B11" s="22">
        <f>'Quarterly Profit &amp; Loss'!B11/'Quarterly Profit &amp; Loss'!B$2</f>
        <v>0.1047007458</v>
      </c>
      <c r="C11" s="22">
        <f>'Quarterly Profit &amp; Loss'!C11/'Quarterly Profit &amp; Loss'!C$2</f>
        <v>0.1046544106</v>
      </c>
      <c r="D11" s="22">
        <f>'Quarterly Profit &amp; Loss'!D11/'Quarterly Profit &amp; Loss'!D$2</f>
        <v>0.1046511258</v>
      </c>
      <c r="E11" s="22">
        <f>'Quarterly Profit &amp; Loss'!E11/'Quarterly Profit &amp; Loss'!E$2</f>
        <v>0.1046167225</v>
      </c>
      <c r="F11" s="22">
        <f>'Quarterly Profit &amp; Loss'!F11/'Quarterly Profit &amp; Loss'!F$2</f>
        <v>0.1046562701</v>
      </c>
      <c r="G11" s="22">
        <f>'Quarterly Profit &amp; Loss'!G11/'Quarterly Profit &amp; Loss'!G$2</f>
        <v>0.1042060832</v>
      </c>
      <c r="H11" s="22">
        <f>'Quarterly Profit &amp; Loss'!H11/'Quarterly Profit &amp; Loss'!H$2</f>
        <v>0.1043230794</v>
      </c>
      <c r="I11" s="22">
        <f>'Quarterly Profit &amp; Loss'!I11/'Quarterly Profit &amp; Loss'!I$2</f>
        <v>0.1044657685</v>
      </c>
      <c r="J11" s="22">
        <f>'Quarterly Profit &amp; Loss'!J11/'Quarterly Profit &amp; Loss'!J$2</f>
        <v>0.1045940725</v>
      </c>
      <c r="K11" s="22">
        <f>'Quarterly Profit &amp; Loss'!K11/'Quarterly Profit &amp; Loss'!K$2</f>
        <v>0.1047087298</v>
      </c>
      <c r="L11" s="22">
        <f>'Quarterly Profit &amp; Loss'!L11/'Quarterly Profit &amp; Loss'!L$2</f>
        <v>0.10475926</v>
      </c>
      <c r="M11" s="22">
        <f>'Quarterly Profit &amp; Loss'!M11/'Quarterly Profit &amp; Loss'!M$2</f>
        <v>0.1048045018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 t="s">
        <v>42</v>
      </c>
      <c r="B12" s="22">
        <f>'Quarterly Profit &amp; Loss'!B12/'Quarterly Profit &amp; Loss'!B$2</f>
        <v>0.2774187645</v>
      </c>
      <c r="C12" s="22">
        <f>'Quarterly Profit &amp; Loss'!C12/'Quarterly Profit &amp; Loss'!C$2</f>
        <v>0.2772959929</v>
      </c>
      <c r="D12" s="22">
        <f>'Quarterly Profit &amp; Loss'!D12/'Quarterly Profit &amp; Loss'!D$2</f>
        <v>0.2772872896</v>
      </c>
      <c r="E12" s="22">
        <f>'Quarterly Profit &amp; Loss'!E12/'Quarterly Profit &amp; Loss'!E$2</f>
        <v>0.2771961332</v>
      </c>
      <c r="F12" s="22">
        <f>'Quarterly Profit &amp; Loss'!F12/'Quarterly Profit &amp; Loss'!F$2</f>
        <v>0.2773009201</v>
      </c>
      <c r="G12" s="22">
        <f>'Quarterly Profit &amp; Loss'!G12/'Quarterly Profit &amp; Loss'!G$2</f>
        <v>0.276108089</v>
      </c>
      <c r="H12" s="22">
        <f>'Quarterly Profit &amp; Loss'!H12/'Quarterly Profit &amp; Loss'!H$2</f>
        <v>0.2764180862</v>
      </c>
      <c r="I12" s="22">
        <f>'Quarterly Profit &amp; Loss'!I12/'Quarterly Profit &amp; Loss'!I$2</f>
        <v>0.2767961603</v>
      </c>
      <c r="J12" s="22">
        <f>'Quarterly Profit &amp; Loss'!J12/'Quarterly Profit &amp; Loss'!J$2</f>
        <v>0.2771361191</v>
      </c>
      <c r="K12" s="22">
        <f>'Quarterly Profit &amp; Loss'!K12/'Quarterly Profit &amp; Loss'!K$2</f>
        <v>0.2774399192</v>
      </c>
      <c r="L12" s="22">
        <f>'Quarterly Profit &amp; Loss'!L12/'Quarterly Profit &amp; Loss'!L$2</f>
        <v>0.2775738056</v>
      </c>
      <c r="M12" s="22">
        <f>'Quarterly Profit &amp; Loss'!M12/'Quarterly Profit &amp; Loss'!M$2</f>
        <v>0.27769368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2.88"/>
    <col customWidth="1" min="3" max="3" width="32.38"/>
  </cols>
  <sheetData>
    <row r="1">
      <c r="A1" s="6" t="s">
        <v>49</v>
      </c>
      <c r="B1" s="3"/>
      <c r="C1" s="3"/>
      <c r="D1" s="3"/>
      <c r="E1" s="3"/>
    </row>
    <row r="2">
      <c r="A2" s="6" t="s">
        <v>50</v>
      </c>
      <c r="B2" s="6" t="s">
        <v>51</v>
      </c>
      <c r="C2" s="6" t="s">
        <v>52</v>
      </c>
      <c r="D2" s="6" t="s">
        <v>53</v>
      </c>
      <c r="E2" s="3"/>
    </row>
    <row r="3">
      <c r="A3" s="3" t="s">
        <v>32</v>
      </c>
      <c r="B3" s="3" t="s">
        <v>54</v>
      </c>
      <c r="C3" s="3" t="s">
        <v>55</v>
      </c>
      <c r="D3" s="21">
        <f>AVERAGE('Horizontal Analysis'!J2:M2)</f>
        <v>0.03818192087</v>
      </c>
      <c r="E3" s="3"/>
    </row>
    <row r="4">
      <c r="A4" s="3" t="s">
        <v>56</v>
      </c>
      <c r="B4" s="3" t="s">
        <v>57</v>
      </c>
      <c r="C4" s="3" t="s">
        <v>58</v>
      </c>
      <c r="D4" s="21">
        <f>AVERAGE('Vertical Analysis'!K3:M3)</f>
        <v>0.6034566942</v>
      </c>
      <c r="E4" s="3"/>
    </row>
    <row r="5">
      <c r="A5" s="3" t="s">
        <v>59</v>
      </c>
      <c r="B5" s="3" t="s">
        <v>57</v>
      </c>
      <c r="C5" s="3" t="s">
        <v>58</v>
      </c>
      <c r="D5" s="21">
        <f>AVERAGE('Vertical Analysis'!J5:M5)</f>
        <v>0.00826140592</v>
      </c>
      <c r="E5" s="3"/>
    </row>
    <row r="6">
      <c r="A6" s="3" t="s">
        <v>60</v>
      </c>
      <c r="B6" s="3" t="s">
        <v>61</v>
      </c>
      <c r="C6" s="3" t="s">
        <v>62</v>
      </c>
      <c r="D6" s="21">
        <f>'Quarterly Balance Sheet'!M9/'Quarterly Profit &amp; Loss'!M3</f>
        <v>0.3409470455</v>
      </c>
      <c r="E6" s="3"/>
    </row>
    <row r="7">
      <c r="A7" s="3" t="s">
        <v>63</v>
      </c>
      <c r="B7" s="3" t="s">
        <v>61</v>
      </c>
      <c r="C7" s="3" t="s">
        <v>64</v>
      </c>
      <c r="D7" s="21">
        <f>'Quarterly Balance Sheet'!M10/'Quarterly Profit &amp; Loss'!M2</f>
        <v>0.3421843779</v>
      </c>
      <c r="E7" s="3"/>
    </row>
    <row r="8">
      <c r="A8" s="3" t="s">
        <v>65</v>
      </c>
      <c r="B8" s="3" t="s">
        <v>61</v>
      </c>
      <c r="C8" s="3" t="s">
        <v>62</v>
      </c>
      <c r="D8" s="21">
        <f>'Quarterly Balance Sheet'!M26/'Quarterly Profit &amp; Loss'!M3</f>
        <v>0.4575692978</v>
      </c>
      <c r="E8" s="3"/>
    </row>
    <row r="9">
      <c r="A9" s="3" t="s">
        <v>66</v>
      </c>
      <c r="B9" s="3" t="s">
        <v>61</v>
      </c>
      <c r="C9" s="3" t="s">
        <v>67</v>
      </c>
      <c r="D9" s="21">
        <f>'Quarterly Balance Sheet'!M27/'Quarterly Profit &amp; Loss'!M5</f>
        <v>0.166533694</v>
      </c>
      <c r="E9" s="3"/>
    </row>
    <row r="10">
      <c r="A10" s="3"/>
      <c r="B10" s="3"/>
      <c r="C10" s="3"/>
      <c r="D10" s="3"/>
      <c r="E10" s="3"/>
    </row>
    <row r="11">
      <c r="A11" s="6" t="s">
        <v>68</v>
      </c>
      <c r="B11" s="3"/>
      <c r="C11" s="3"/>
      <c r="D11" s="3"/>
      <c r="E11" s="3"/>
    </row>
    <row r="12">
      <c r="A12" s="6" t="s">
        <v>69</v>
      </c>
      <c r="B12" s="6" t="s">
        <v>70</v>
      </c>
      <c r="C12" s="6" t="s">
        <v>71</v>
      </c>
      <c r="D12" s="3"/>
      <c r="E12" s="3"/>
    </row>
    <row r="13">
      <c r="A13" s="3" t="s">
        <v>72</v>
      </c>
      <c r="B13" s="8">
        <v>2000000.0</v>
      </c>
      <c r="C13" s="9">
        <v>36.0</v>
      </c>
      <c r="D13" s="3"/>
      <c r="E13" s="3"/>
    </row>
    <row r="14">
      <c r="A14" s="3" t="s">
        <v>73</v>
      </c>
      <c r="B14" s="10" t="s">
        <v>74</v>
      </c>
      <c r="C14" s="9">
        <v>10.0</v>
      </c>
      <c r="D14" s="3"/>
      <c r="E14" s="3"/>
    </row>
    <row r="15">
      <c r="A15" s="3"/>
      <c r="B15" s="3"/>
      <c r="C15" s="3"/>
      <c r="D15" s="3"/>
      <c r="E15" s="3"/>
    </row>
    <row r="16">
      <c r="A16" s="6" t="s">
        <v>75</v>
      </c>
      <c r="B16" s="3"/>
      <c r="C16" s="3"/>
      <c r="D16" s="3"/>
      <c r="E16" s="3"/>
    </row>
    <row r="17">
      <c r="A17" s="6" t="s">
        <v>76</v>
      </c>
      <c r="B17" s="6" t="s">
        <v>77</v>
      </c>
      <c r="C17" s="6" t="s">
        <v>78</v>
      </c>
      <c r="D17" s="6" t="s">
        <v>79</v>
      </c>
      <c r="E17" s="3"/>
    </row>
    <row r="18">
      <c r="A18" s="3" t="s">
        <v>72</v>
      </c>
      <c r="B18" s="8">
        <v>3000000.0</v>
      </c>
      <c r="C18" s="12">
        <v>0.1395</v>
      </c>
      <c r="D18" s="9">
        <v>16.0</v>
      </c>
      <c r="E18" s="3"/>
    </row>
    <row r="19">
      <c r="A19" s="3"/>
      <c r="B19" s="3"/>
      <c r="C19" s="3"/>
      <c r="D19" s="3"/>
      <c r="E19" s="3"/>
    </row>
    <row r="20">
      <c r="A20" s="6" t="s">
        <v>80</v>
      </c>
      <c r="B20" s="12">
        <v>0.2738</v>
      </c>
      <c r="C20" s="3"/>
      <c r="D20" s="3"/>
      <c r="E20" s="3"/>
    </row>
    <row r="21">
      <c r="A21" s="3"/>
      <c r="B21" s="3"/>
      <c r="C21" s="3"/>
      <c r="D21" s="3"/>
      <c r="E21" s="3"/>
    </row>
    <row r="22">
      <c r="A22" s="6" t="s">
        <v>81</v>
      </c>
      <c r="B22" s="3"/>
      <c r="C22" s="3"/>
      <c r="D22" s="3"/>
      <c r="E22" s="3"/>
    </row>
    <row r="23">
      <c r="A23" s="3" t="s">
        <v>82</v>
      </c>
      <c r="B23" s="9">
        <v>4395260.0</v>
      </c>
      <c r="C23" s="3"/>
      <c r="D23" s="3"/>
      <c r="E23" s="3"/>
    </row>
    <row r="24">
      <c r="A24" s="3" t="s">
        <v>83</v>
      </c>
      <c r="B24" s="9">
        <v>204953.0</v>
      </c>
      <c r="C24" s="10" t="s">
        <v>84</v>
      </c>
      <c r="D24" s="3"/>
      <c r="E24" s="3"/>
    </row>
    <row r="25">
      <c r="A25" s="3" t="s">
        <v>85</v>
      </c>
      <c r="B25" s="9">
        <v>14.6</v>
      </c>
      <c r="C25" s="3"/>
      <c r="D25" s="3"/>
      <c r="E25" s="3"/>
    </row>
    <row r="26">
      <c r="A26" s="3" t="s">
        <v>86</v>
      </c>
      <c r="B26" s="9">
        <v>10.3</v>
      </c>
      <c r="C26" s="3" t="s">
        <v>87</v>
      </c>
      <c r="D26" s="3"/>
      <c r="E26" s="3"/>
    </row>
    <row r="27">
      <c r="A27" s="3"/>
      <c r="B27" s="3"/>
      <c r="C27" s="3"/>
      <c r="D27" s="3"/>
      <c r="E27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23" t="s">
        <v>43</v>
      </c>
      <c r="C1" s="23" t="s">
        <v>44</v>
      </c>
      <c r="D1" s="23" t="s">
        <v>45</v>
      </c>
      <c r="E1" s="3"/>
      <c r="F1" s="3"/>
      <c r="G1" s="3"/>
      <c r="H1" s="23" t="s">
        <v>43</v>
      </c>
      <c r="I1" s="23" t="s">
        <v>44</v>
      </c>
      <c r="J1" s="23" t="s">
        <v>45</v>
      </c>
    </row>
    <row r="2">
      <c r="A2" s="6" t="s">
        <v>88</v>
      </c>
      <c r="B2" s="17"/>
      <c r="C2" s="17"/>
      <c r="D2" s="3"/>
      <c r="E2" s="3"/>
      <c r="F2" s="3"/>
      <c r="G2" s="6" t="s">
        <v>89</v>
      </c>
      <c r="H2" s="17"/>
      <c r="I2" s="17"/>
      <c r="J2" s="3"/>
    </row>
    <row r="3">
      <c r="A3" s="6" t="s">
        <v>90</v>
      </c>
      <c r="B3" s="17"/>
      <c r="C3" s="17"/>
      <c r="D3" s="3"/>
      <c r="E3" s="3"/>
      <c r="F3" s="3"/>
      <c r="G3" s="6" t="s">
        <v>91</v>
      </c>
      <c r="H3" s="17"/>
      <c r="I3" s="17"/>
      <c r="J3" s="3"/>
    </row>
    <row r="4">
      <c r="A4" s="3" t="s">
        <v>73</v>
      </c>
      <c r="B4" s="24">
        <f>'Quarterly Balance Sheet'!M5</f>
        <v>367771.4286</v>
      </c>
      <c r="C4" s="24">
        <f t="shared" ref="C4:D4" si="1">B14</f>
        <v>367771.4286</v>
      </c>
      <c r="D4" s="24">
        <f t="shared" si="1"/>
        <v>367771.4286</v>
      </c>
      <c r="E4" s="3"/>
      <c r="F4" s="3"/>
      <c r="G4" s="3" t="s">
        <v>92</v>
      </c>
      <c r="H4" s="24">
        <f>'Quarterly Balance Sheet'!M22</f>
        <v>2010223</v>
      </c>
      <c r="I4" s="24">
        <f t="shared" ref="I4:J4" si="2">H15</f>
        <v>2010223</v>
      </c>
      <c r="J4" s="24">
        <f t="shared" si="2"/>
        <v>2010223</v>
      </c>
    </row>
    <row r="5">
      <c r="A5" s="3" t="s">
        <v>93</v>
      </c>
      <c r="B5" s="24">
        <v>0.0</v>
      </c>
      <c r="C5" s="24">
        <f t="shared" ref="C5:D5" si="3">B15</f>
        <v>2000000</v>
      </c>
      <c r="D5" s="24">
        <f t="shared" si="3"/>
        <v>2000000</v>
      </c>
      <c r="E5" s="3"/>
      <c r="F5" s="3"/>
      <c r="G5" s="3" t="s">
        <v>94</v>
      </c>
      <c r="H5" s="24">
        <v>0.0</v>
      </c>
      <c r="I5" s="24">
        <f t="shared" ref="I5:J5" si="4">H16</f>
        <v>3000000</v>
      </c>
      <c r="J5" s="24">
        <f t="shared" si="4"/>
        <v>3000000</v>
      </c>
    </row>
    <row r="6">
      <c r="A6" s="6" t="s">
        <v>95</v>
      </c>
      <c r="B6" s="24">
        <f t="shared" ref="B6:C6" si="5">SUM(B4:B5)</f>
        <v>367771.4286</v>
      </c>
      <c r="C6" s="24">
        <f t="shared" si="5"/>
        <v>2367771.429</v>
      </c>
      <c r="D6" s="24">
        <f>C16</f>
        <v>2367771.429</v>
      </c>
      <c r="E6" s="3"/>
      <c r="F6" s="3"/>
      <c r="G6" s="6" t="s">
        <v>96</v>
      </c>
      <c r="H6" s="24">
        <f>SUM(H4:H5)</f>
        <v>2010223</v>
      </c>
      <c r="I6" s="24">
        <f t="shared" ref="I6:J6" si="6">H17</f>
        <v>5010223</v>
      </c>
      <c r="J6" s="24">
        <f t="shared" si="6"/>
        <v>5010223</v>
      </c>
    </row>
    <row r="7">
      <c r="A7" s="3"/>
      <c r="B7" s="17"/>
      <c r="C7" s="17"/>
      <c r="D7" s="3"/>
      <c r="E7" s="3"/>
      <c r="F7" s="3"/>
      <c r="G7" s="3"/>
      <c r="H7" s="17"/>
      <c r="I7" s="17"/>
      <c r="J7" s="3"/>
    </row>
    <row r="8">
      <c r="A8" s="6" t="s">
        <v>97</v>
      </c>
      <c r="B8" s="17"/>
      <c r="C8" s="17"/>
      <c r="D8" s="3"/>
      <c r="E8" s="3"/>
      <c r="F8" s="3"/>
      <c r="G8" s="6" t="s">
        <v>98</v>
      </c>
      <c r="H8" s="17"/>
      <c r="I8" s="17"/>
      <c r="J8" s="3"/>
    </row>
    <row r="9">
      <c r="A9" s="3" t="s">
        <v>73</v>
      </c>
      <c r="B9" s="24">
        <v>0.0</v>
      </c>
      <c r="C9" s="24">
        <v>0.0</v>
      </c>
      <c r="D9" s="24">
        <v>0.0</v>
      </c>
      <c r="E9" s="3"/>
      <c r="F9" s="3"/>
      <c r="G9" s="3" t="s">
        <v>92</v>
      </c>
      <c r="H9" s="24">
        <v>0.0</v>
      </c>
      <c r="I9" s="24">
        <v>0.0</v>
      </c>
      <c r="J9" s="24">
        <v>0.0</v>
      </c>
    </row>
    <row r="10">
      <c r="A10" s="3" t="s">
        <v>93</v>
      </c>
      <c r="B10" s="24">
        <f>'Assumptions-Forecasting'!B13</f>
        <v>2000000</v>
      </c>
      <c r="C10" s="24">
        <v>0.0</v>
      </c>
      <c r="D10" s="24">
        <v>0.0</v>
      </c>
      <c r="E10" s="3"/>
      <c r="F10" s="3"/>
      <c r="G10" s="3" t="s">
        <v>94</v>
      </c>
      <c r="H10" s="24">
        <f>'Assumptions-Forecasting'!B18</f>
        <v>3000000</v>
      </c>
      <c r="I10" s="24">
        <v>0.0</v>
      </c>
      <c r="J10" s="24">
        <v>0.0</v>
      </c>
    </row>
    <row r="11">
      <c r="A11" s="6" t="s">
        <v>95</v>
      </c>
      <c r="B11" s="24">
        <f t="shared" ref="B11:D11" si="7">SUM(B9:B10)</f>
        <v>2000000</v>
      </c>
      <c r="C11" s="24">
        <f t="shared" si="7"/>
        <v>0</v>
      </c>
      <c r="D11" s="24">
        <f t="shared" si="7"/>
        <v>0</v>
      </c>
      <c r="E11" s="3"/>
      <c r="F11" s="3"/>
      <c r="G11" s="6" t="s">
        <v>95</v>
      </c>
      <c r="H11" s="24">
        <f t="shared" ref="H11:J11" si="8">SUM(H9:H10)</f>
        <v>3000000</v>
      </c>
      <c r="I11" s="24">
        <f t="shared" si="8"/>
        <v>0</v>
      </c>
      <c r="J11" s="24">
        <f t="shared" si="8"/>
        <v>0</v>
      </c>
    </row>
    <row r="12">
      <c r="A12" s="3"/>
      <c r="B12" s="17"/>
      <c r="C12" s="17"/>
      <c r="D12" s="3"/>
      <c r="E12" s="3"/>
      <c r="F12" s="3"/>
      <c r="G12" s="3"/>
      <c r="H12" s="17"/>
      <c r="I12" s="17"/>
      <c r="J12" s="3"/>
    </row>
    <row r="13">
      <c r="A13" s="6" t="s">
        <v>99</v>
      </c>
      <c r="B13" s="17"/>
      <c r="C13" s="17"/>
      <c r="D13" s="3"/>
      <c r="E13" s="3"/>
      <c r="F13" s="3"/>
      <c r="G13" s="3"/>
      <c r="H13" s="17"/>
      <c r="I13" s="17"/>
      <c r="J13" s="3"/>
    </row>
    <row r="14">
      <c r="A14" s="3" t="s">
        <v>73</v>
      </c>
      <c r="B14" s="24">
        <f t="shared" ref="B14:D14" si="9">B4+B9</f>
        <v>367771.4286</v>
      </c>
      <c r="C14" s="24">
        <f t="shared" si="9"/>
        <v>367771.4286</v>
      </c>
      <c r="D14" s="24">
        <f t="shared" si="9"/>
        <v>367771.4286</v>
      </c>
      <c r="E14" s="3"/>
      <c r="F14" s="3"/>
      <c r="G14" s="6" t="s">
        <v>100</v>
      </c>
      <c r="H14" s="17"/>
      <c r="I14" s="17"/>
      <c r="J14" s="3"/>
    </row>
    <row r="15">
      <c r="A15" s="3" t="s">
        <v>93</v>
      </c>
      <c r="B15" s="24">
        <f t="shared" ref="B15:D15" si="10">B5+B10</f>
        <v>2000000</v>
      </c>
      <c r="C15" s="24">
        <f t="shared" si="10"/>
        <v>2000000</v>
      </c>
      <c r="D15" s="24">
        <f t="shared" si="10"/>
        <v>2000000</v>
      </c>
      <c r="E15" s="3"/>
      <c r="F15" s="3"/>
      <c r="G15" s="3" t="s">
        <v>92</v>
      </c>
      <c r="H15" s="24">
        <f t="shared" ref="H15:J15" si="11">H4+H9</f>
        <v>2010223</v>
      </c>
      <c r="I15" s="24">
        <f t="shared" si="11"/>
        <v>2010223</v>
      </c>
      <c r="J15" s="24">
        <f t="shared" si="11"/>
        <v>2010223</v>
      </c>
    </row>
    <row r="16">
      <c r="A16" s="6" t="s">
        <v>95</v>
      </c>
      <c r="B16" s="24">
        <f t="shared" ref="B16:D16" si="12">SUM(B14:B15)</f>
        <v>2367771.429</v>
      </c>
      <c r="C16" s="24">
        <f t="shared" si="12"/>
        <v>2367771.429</v>
      </c>
      <c r="D16" s="24">
        <f t="shared" si="12"/>
        <v>2367771.429</v>
      </c>
      <c r="E16" s="3"/>
      <c r="F16" s="3"/>
      <c r="G16" s="3" t="s">
        <v>94</v>
      </c>
      <c r="H16" s="24">
        <f t="shared" ref="H16:J16" si="13">H5+H10</f>
        <v>3000000</v>
      </c>
      <c r="I16" s="24">
        <f t="shared" si="13"/>
        <v>3000000</v>
      </c>
      <c r="J16" s="24">
        <f t="shared" si="13"/>
        <v>3000000</v>
      </c>
    </row>
    <row r="17">
      <c r="A17" s="3"/>
      <c r="B17" s="17"/>
      <c r="C17" s="17"/>
      <c r="D17" s="3"/>
      <c r="E17" s="3"/>
      <c r="F17" s="3"/>
      <c r="G17" s="6" t="s">
        <v>95</v>
      </c>
      <c r="H17" s="24">
        <f t="shared" ref="H17:J17" si="14">H6+H11</f>
        <v>5010223</v>
      </c>
      <c r="I17" s="24">
        <f t="shared" si="14"/>
        <v>5010223</v>
      </c>
      <c r="J17" s="24">
        <f t="shared" si="14"/>
        <v>5010223</v>
      </c>
    </row>
    <row r="18">
      <c r="A18" s="6" t="s">
        <v>101</v>
      </c>
      <c r="B18" s="17"/>
      <c r="C18" s="17"/>
      <c r="D18" s="3"/>
      <c r="E18" s="3"/>
      <c r="F18" s="3"/>
      <c r="G18" s="3"/>
      <c r="H18" s="17"/>
      <c r="I18" s="17"/>
      <c r="J18" s="3"/>
    </row>
    <row r="19">
      <c r="A19" s="3" t="s">
        <v>73</v>
      </c>
      <c r="B19" s="24">
        <v>0.0</v>
      </c>
      <c r="C19" s="24">
        <f t="shared" ref="C19:D19" si="15">B29</f>
        <v>110331.4286</v>
      </c>
      <c r="D19" s="24">
        <f t="shared" si="15"/>
        <v>220662.8571</v>
      </c>
      <c r="E19" s="3"/>
      <c r="F19" s="3"/>
      <c r="G19" s="6" t="s">
        <v>102</v>
      </c>
      <c r="H19" s="17"/>
      <c r="I19" s="17"/>
      <c r="J19" s="3"/>
    </row>
    <row r="20">
      <c r="A20" s="3" t="s">
        <v>93</v>
      </c>
      <c r="B20" s="24">
        <v>0.0</v>
      </c>
      <c r="C20" s="24">
        <f t="shared" ref="C20:D20" si="16">B30</f>
        <v>166666.6667</v>
      </c>
      <c r="D20" s="24">
        <f t="shared" si="16"/>
        <v>333333.3333</v>
      </c>
      <c r="E20" s="3"/>
      <c r="F20" s="3"/>
      <c r="G20" s="3" t="s">
        <v>92</v>
      </c>
      <c r="H20" s="24">
        <f>'Quarterly Profit &amp; Loss'!M9</f>
        <v>68347.582</v>
      </c>
      <c r="I20" s="24">
        <f>'Quarterly Profit &amp; Loss'!M9</f>
        <v>68347.582</v>
      </c>
      <c r="J20" s="24">
        <f>'Quarterly Profit &amp; Loss'!M9</f>
        <v>68347.582</v>
      </c>
    </row>
    <row r="21">
      <c r="A21" s="6" t="s">
        <v>95</v>
      </c>
      <c r="B21" s="24">
        <f t="shared" ref="B21:D21" si="17">SUM(B19:B20)</f>
        <v>0</v>
      </c>
      <c r="C21" s="24">
        <f t="shared" si="17"/>
        <v>276998.0952</v>
      </c>
      <c r="D21" s="24">
        <f t="shared" si="17"/>
        <v>553996.1905</v>
      </c>
      <c r="E21" s="3"/>
      <c r="F21" s="3"/>
      <c r="G21" s="3" t="s">
        <v>94</v>
      </c>
      <c r="H21" s="24">
        <f>H16*'Assumptions-Forecasting'!$C18/12*3</f>
        <v>104625</v>
      </c>
      <c r="I21" s="24">
        <f>I16*'Assumptions-Forecasting'!$C18/12*3</f>
        <v>104625</v>
      </c>
      <c r="J21" s="24">
        <f>J16*'Assumptions-Forecasting'!$C18/12*3</f>
        <v>104625</v>
      </c>
    </row>
    <row r="22">
      <c r="A22" s="3"/>
      <c r="B22" s="17"/>
      <c r="C22" s="17"/>
      <c r="D22" s="3"/>
      <c r="E22" s="3"/>
      <c r="F22" s="3"/>
      <c r="G22" s="6" t="s">
        <v>95</v>
      </c>
      <c r="H22" s="24">
        <f t="shared" ref="H22:J22" si="18">SUM(H20:H21)</f>
        <v>172972.582</v>
      </c>
      <c r="I22" s="24">
        <f t="shared" si="18"/>
        <v>172972.582</v>
      </c>
      <c r="J22" s="24">
        <f t="shared" si="18"/>
        <v>172972.582</v>
      </c>
    </row>
    <row r="23">
      <c r="A23" s="6" t="s">
        <v>103</v>
      </c>
      <c r="B23" s="17"/>
      <c r="C23" s="17"/>
      <c r="D23" s="3"/>
      <c r="E23" s="3"/>
      <c r="F23" s="3"/>
      <c r="G23" s="3"/>
      <c r="H23" s="3"/>
      <c r="I23" s="3"/>
      <c r="J23" s="3"/>
    </row>
    <row r="24">
      <c r="A24" s="3" t="s">
        <v>73</v>
      </c>
      <c r="B24" s="24">
        <f>B14/'Assumptions-Forecasting'!C14*3</f>
        <v>110331.4286</v>
      </c>
      <c r="C24" s="24">
        <f>C14/'Assumptions-Forecasting'!$C$14*3</f>
        <v>110331.4286</v>
      </c>
      <c r="D24" s="24">
        <f>D14/'Assumptions-Forecasting'!$C$14*3</f>
        <v>110331.4286</v>
      </c>
      <c r="E24" s="3"/>
      <c r="F24" s="3"/>
      <c r="G24" s="3"/>
      <c r="H24" s="3"/>
      <c r="I24" s="3"/>
      <c r="J24" s="3"/>
    </row>
    <row r="25">
      <c r="A25" s="3" t="s">
        <v>93</v>
      </c>
      <c r="B25" s="24">
        <f>B15/'Assumptions-Forecasting'!C13*3</f>
        <v>166666.6667</v>
      </c>
      <c r="C25" s="24">
        <f>C15/'Assumptions-Forecasting'!C13*3</f>
        <v>166666.6667</v>
      </c>
      <c r="D25" s="24">
        <f>D15/'Assumptions-Forecasting'!C13*3</f>
        <v>166666.6667</v>
      </c>
      <c r="E25" s="3"/>
      <c r="F25" s="3"/>
      <c r="G25" s="3"/>
      <c r="H25" s="3"/>
      <c r="I25" s="3"/>
      <c r="J25" s="3"/>
    </row>
    <row r="26">
      <c r="A26" s="6" t="s">
        <v>95</v>
      </c>
      <c r="B26" s="24">
        <f t="shared" ref="B26:D26" si="19">SUM(B24:B25)</f>
        <v>276998.0952</v>
      </c>
      <c r="C26" s="24">
        <f t="shared" si="19"/>
        <v>276998.0952</v>
      </c>
      <c r="D26" s="24">
        <f t="shared" si="19"/>
        <v>276998.0952</v>
      </c>
      <c r="E26" s="3"/>
      <c r="F26" s="3"/>
      <c r="G26" s="3"/>
      <c r="H26" s="3"/>
      <c r="I26" s="3"/>
      <c r="J26" s="3"/>
    </row>
    <row r="27">
      <c r="A27" s="3"/>
      <c r="B27" s="17"/>
      <c r="C27" s="17"/>
      <c r="D27" s="3"/>
      <c r="E27" s="3"/>
      <c r="F27" s="3"/>
      <c r="G27" s="3"/>
      <c r="H27" s="3"/>
      <c r="I27" s="3"/>
      <c r="J27" s="3"/>
    </row>
    <row r="28">
      <c r="A28" s="6" t="s">
        <v>104</v>
      </c>
      <c r="B28" s="17"/>
      <c r="C28" s="17"/>
      <c r="D28" s="3"/>
      <c r="E28" s="3"/>
      <c r="F28" s="3"/>
      <c r="G28" s="3"/>
      <c r="H28" s="3"/>
      <c r="I28" s="3"/>
      <c r="J28" s="3"/>
    </row>
    <row r="29">
      <c r="A29" s="3" t="s">
        <v>73</v>
      </c>
      <c r="B29" s="24">
        <f t="shared" ref="B29:D29" si="20">B19+B24</f>
        <v>110331.4286</v>
      </c>
      <c r="C29" s="24">
        <f t="shared" si="20"/>
        <v>220662.8571</v>
      </c>
      <c r="D29" s="24">
        <f t="shared" si="20"/>
        <v>330994.2857</v>
      </c>
      <c r="E29" s="3"/>
      <c r="F29" s="3"/>
      <c r="G29" s="3"/>
      <c r="H29" s="3"/>
      <c r="I29" s="3"/>
      <c r="J29" s="3"/>
    </row>
    <row r="30">
      <c r="A30" s="3" t="s">
        <v>93</v>
      </c>
      <c r="B30" s="24">
        <f t="shared" ref="B30:D30" si="21">B20+B25</f>
        <v>166666.6667</v>
      </c>
      <c r="C30" s="24">
        <f t="shared" si="21"/>
        <v>333333.3333</v>
      </c>
      <c r="D30" s="24">
        <f t="shared" si="21"/>
        <v>500000</v>
      </c>
      <c r="E30" s="3"/>
      <c r="F30" s="3"/>
      <c r="G30" s="3"/>
      <c r="H30" s="3"/>
      <c r="I30" s="3"/>
      <c r="J30" s="3"/>
    </row>
    <row r="31">
      <c r="A31" s="6" t="s">
        <v>95</v>
      </c>
      <c r="B31" s="24">
        <f t="shared" ref="B31:D31" si="22">SUM(B29:B30)</f>
        <v>276998.0952</v>
      </c>
      <c r="C31" s="24">
        <f t="shared" si="22"/>
        <v>553996.1905</v>
      </c>
      <c r="D31" s="24">
        <f t="shared" si="22"/>
        <v>830994.2857</v>
      </c>
      <c r="E31" s="3"/>
      <c r="F31" s="3"/>
      <c r="G31" s="3"/>
      <c r="H31" s="3"/>
      <c r="I31" s="3"/>
      <c r="J31" s="3"/>
    </row>
    <row r="32">
      <c r="A32" s="3"/>
      <c r="B32" s="17"/>
      <c r="C32" s="17"/>
      <c r="D32" s="3"/>
      <c r="E32" s="3"/>
      <c r="F32" s="3"/>
      <c r="G32" s="3"/>
      <c r="H32" s="3"/>
      <c r="I32" s="3"/>
      <c r="J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3"/>
      <c r="B1" s="23" t="s">
        <v>43</v>
      </c>
      <c r="C1" s="23" t="s">
        <v>44</v>
      </c>
      <c r="D1" s="23" t="s">
        <v>45</v>
      </c>
    </row>
    <row r="2">
      <c r="A2" s="6" t="s">
        <v>105</v>
      </c>
      <c r="B2" s="3"/>
      <c r="C2" s="3"/>
      <c r="D2" s="3"/>
    </row>
    <row r="3">
      <c r="A3" s="3" t="s">
        <v>106</v>
      </c>
      <c r="B3" s="24">
        <f>'Forecasted Quarterly Balance Sh'!B9</f>
        <v>13526550.67</v>
      </c>
      <c r="C3" s="24">
        <f t="shared" ref="C3:D3" si="1">B5</f>
        <v>14043020.36</v>
      </c>
      <c r="D3" s="24">
        <f t="shared" si="1"/>
        <v>14579209.85</v>
      </c>
    </row>
    <row r="4">
      <c r="A4" s="3" t="s">
        <v>32</v>
      </c>
      <c r="B4" s="24">
        <f>'Forecasted Quarterly Profit &amp; L'!C2</f>
        <v>41039338.04</v>
      </c>
      <c r="C4" s="24">
        <f>'Forecasted Quarterly Profit &amp; L'!D2</f>
        <v>42606298.8</v>
      </c>
      <c r="D4" s="24">
        <f>'Forecasted Quarterly Profit &amp; L'!E2</f>
        <v>44233089.13</v>
      </c>
    </row>
    <row r="5">
      <c r="A5" s="3" t="s">
        <v>107</v>
      </c>
      <c r="B5" s="24">
        <f>'Forecasted Quarterly Balance Sh'!C9</f>
        <v>14043020.36</v>
      </c>
      <c r="C5" s="24">
        <f>'Forecasted Quarterly Balance Sh'!D9</f>
        <v>14579209.85</v>
      </c>
      <c r="D5" s="24">
        <f>'Forecasted Quarterly Balance Sh'!E9</f>
        <v>15135872.09</v>
      </c>
    </row>
    <row r="6">
      <c r="A6" s="6" t="s">
        <v>105</v>
      </c>
      <c r="B6" s="25">
        <f t="shared" ref="B6:D6" si="2">B3+B4-B5</f>
        <v>40522868.36</v>
      </c>
      <c r="C6" s="25">
        <f t="shared" si="2"/>
        <v>42070109.31</v>
      </c>
      <c r="D6" s="25">
        <f t="shared" si="2"/>
        <v>43676426.89</v>
      </c>
    </row>
    <row r="7">
      <c r="A7" s="3"/>
      <c r="B7" s="3"/>
      <c r="C7" s="3"/>
      <c r="D7" s="3"/>
    </row>
    <row r="8">
      <c r="A8" s="6" t="s">
        <v>108</v>
      </c>
      <c r="B8" s="3"/>
      <c r="C8" s="3"/>
      <c r="D8" s="3"/>
    </row>
    <row r="9">
      <c r="A9" s="3" t="s">
        <v>109</v>
      </c>
      <c r="B9" s="24">
        <f>'Forecasted Quarterly Balance Sh'!B25</f>
        <v>10921714.05</v>
      </c>
      <c r="C9" s="24">
        <f>'Forecasted Quarterly Balance Sh'!C25</f>
        <v>11331915.64</v>
      </c>
      <c r="D9" s="24">
        <f>'Forecasted Quarterly Balance Sh'!D25</f>
        <v>11764589.94</v>
      </c>
    </row>
    <row r="10">
      <c r="A10" s="3" t="s">
        <v>97</v>
      </c>
      <c r="B10" s="24">
        <f t="shared" ref="B10:D10" si="3">B18</f>
        <v>25071115.37</v>
      </c>
      <c r="C10" s="24">
        <f t="shared" si="3"/>
        <v>26033453.35</v>
      </c>
      <c r="D10" s="24">
        <f t="shared" si="3"/>
        <v>27027460.61</v>
      </c>
    </row>
    <row r="11">
      <c r="A11" s="3" t="s">
        <v>110</v>
      </c>
      <c r="B11" s="24">
        <f>'Forecasted Quarterly Balance Sh'!C25</f>
        <v>11331915.64</v>
      </c>
      <c r="C11" s="24">
        <f>'Forecasted Quarterly Balance Sh'!D25</f>
        <v>11764589.94</v>
      </c>
      <c r="D11" s="24">
        <f>'Forecasted Quarterly Balance Sh'!E25</f>
        <v>12213784.59</v>
      </c>
    </row>
    <row r="12">
      <c r="A12" s="6" t="s">
        <v>108</v>
      </c>
      <c r="B12" s="25">
        <f t="shared" ref="B12:D12" si="4">B9+B10-B11</f>
        <v>24660913.79</v>
      </c>
      <c r="C12" s="25">
        <f t="shared" si="4"/>
        <v>25600779.05</v>
      </c>
      <c r="D12" s="25">
        <f t="shared" si="4"/>
        <v>26578265.97</v>
      </c>
    </row>
    <row r="13">
      <c r="A13" s="3"/>
      <c r="B13" s="3"/>
      <c r="C13" s="3"/>
      <c r="D13" s="3"/>
    </row>
    <row r="14">
      <c r="A14" s="6" t="s">
        <v>97</v>
      </c>
      <c r="B14" s="3"/>
      <c r="C14" s="3"/>
      <c r="D14" s="3"/>
    </row>
    <row r="15">
      <c r="A15" s="3" t="s">
        <v>111</v>
      </c>
      <c r="B15" s="24">
        <f>'Forecasted Quarterly Balance Sh'!B8</f>
        <v>8138059.427</v>
      </c>
      <c r="C15" s="24">
        <f>'Forecasted Quarterly Balance Sh'!C8</f>
        <v>8443711.532</v>
      </c>
      <c r="D15" s="24">
        <f>'Forecasted Quarterly Balance Sh'!D8</f>
        <v>8766108.658</v>
      </c>
    </row>
    <row r="16">
      <c r="A16" s="3" t="s">
        <v>56</v>
      </c>
      <c r="B16" s="24">
        <f>'Forecasted Quarterly Profit &amp; L'!C3</f>
        <v>24765463.27</v>
      </c>
      <c r="C16" s="24">
        <f>'Forecasted Quarterly Profit &amp; L'!D3</f>
        <v>25711056.23</v>
      </c>
      <c r="D16" s="24">
        <f>'Forecasted Quarterly Profit &amp; L'!E3</f>
        <v>26692753.74</v>
      </c>
    </row>
    <row r="17">
      <c r="A17" s="3" t="s">
        <v>112</v>
      </c>
      <c r="B17" s="24">
        <f>'Forecasted Quarterly Balance Sh'!C8</f>
        <v>8443711.532</v>
      </c>
      <c r="C17" s="24">
        <f>'Forecasted Quarterly Balance Sh'!D8</f>
        <v>8766108.658</v>
      </c>
      <c r="D17" s="24">
        <f>'Forecasted Quarterly Balance Sh'!E8</f>
        <v>9100815.525</v>
      </c>
    </row>
    <row r="18">
      <c r="A18" s="6" t="s">
        <v>95</v>
      </c>
      <c r="B18" s="25">
        <f t="shared" ref="B18:D18" si="5">B17+B16-B15</f>
        <v>25071115.37</v>
      </c>
      <c r="C18" s="25">
        <f t="shared" si="5"/>
        <v>26033453.35</v>
      </c>
      <c r="D18" s="25">
        <f t="shared" si="5"/>
        <v>27027460.61</v>
      </c>
    </row>
    <row r="19">
      <c r="A19" s="3"/>
      <c r="B19" s="3"/>
      <c r="C19" s="3"/>
      <c r="D19" s="3"/>
    </row>
    <row r="20">
      <c r="A20" s="6" t="s">
        <v>113</v>
      </c>
      <c r="B20" s="3"/>
      <c r="C20" s="3"/>
      <c r="D20" s="3"/>
    </row>
    <row r="21">
      <c r="A21" s="3" t="s">
        <v>114</v>
      </c>
      <c r="B21" s="24">
        <f>'Forecasted Quarterly Balance Sh'!B26</f>
        <v>51348</v>
      </c>
      <c r="C21" s="24">
        <f t="shared" ref="C21:D21" si="6">B23</f>
        <v>56462.02164</v>
      </c>
      <c r="D21" s="24">
        <f t="shared" si="6"/>
        <v>58617.85008</v>
      </c>
    </row>
    <row r="22">
      <c r="A22" s="3" t="s">
        <v>115</v>
      </c>
      <c r="B22" s="24">
        <f>'Forecasted Quarterly Profit &amp; L'!C5</f>
        <v>339042.6303</v>
      </c>
      <c r="C22" s="24">
        <f>'Forecasted Quarterly Profit &amp; L'!D5</f>
        <v>351987.9292</v>
      </c>
      <c r="D22" s="24">
        <f>'Forecasted Quarterly Profit &amp; L'!E5</f>
        <v>365427.5044</v>
      </c>
    </row>
    <row r="23">
      <c r="A23" s="3" t="s">
        <v>116</v>
      </c>
      <c r="B23" s="24">
        <f>'Forecasted Quarterly Balance Sh'!C26</f>
        <v>56462.02164</v>
      </c>
      <c r="C23" s="24">
        <f>'Forecasted Quarterly Balance Sh'!D26</f>
        <v>58617.85008</v>
      </c>
      <c r="D23" s="24">
        <f>'Forecasted Quarterly Balance Sh'!E26</f>
        <v>60855.99219</v>
      </c>
    </row>
    <row r="24">
      <c r="A24" s="6" t="s">
        <v>113</v>
      </c>
      <c r="B24" s="25">
        <f t="shared" ref="B24:D24" si="7">B21+B22-B23</f>
        <v>333928.6086</v>
      </c>
      <c r="C24" s="25">
        <f t="shared" si="7"/>
        <v>349832.1007</v>
      </c>
      <c r="D24" s="25">
        <f t="shared" si="7"/>
        <v>363189.3623</v>
      </c>
    </row>
    <row r="25">
      <c r="A25" s="3"/>
      <c r="B25" s="3"/>
      <c r="C25" s="3"/>
      <c r="D25" s="3"/>
    </row>
    <row r="26">
      <c r="A26" s="3"/>
      <c r="B26" s="3"/>
      <c r="C26" s="3"/>
      <c r="D26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3"/>
      <c r="B1" s="23" t="s">
        <v>43</v>
      </c>
      <c r="C1" s="23" t="s">
        <v>44</v>
      </c>
      <c r="D1" s="23" t="s">
        <v>45</v>
      </c>
    </row>
    <row r="2">
      <c r="A2" s="6" t="s">
        <v>117</v>
      </c>
      <c r="B2" s="3"/>
      <c r="C2" s="3"/>
      <c r="D2" s="3"/>
    </row>
    <row r="3">
      <c r="A3" s="6" t="s">
        <v>118</v>
      </c>
      <c r="B3" s="3"/>
      <c r="C3" s="3"/>
      <c r="D3" s="3"/>
    </row>
    <row r="4">
      <c r="A4" s="3" t="s">
        <v>119</v>
      </c>
      <c r="B4" s="26">
        <f>'Assumptions-Forecasting'!B23</f>
        <v>4395260</v>
      </c>
      <c r="C4" s="26">
        <f t="shared" ref="C4:D4" si="1">B6</f>
        <v>4395260</v>
      </c>
      <c r="D4" s="26">
        <f t="shared" si="1"/>
        <v>4600213</v>
      </c>
    </row>
    <row r="5">
      <c r="A5" s="3" t="s">
        <v>120</v>
      </c>
      <c r="B5" s="9">
        <v>0.0</v>
      </c>
      <c r="C5" s="26">
        <f>'Assumptions-Forecasting'!B24</f>
        <v>204953</v>
      </c>
      <c r="D5" s="9">
        <v>0.0</v>
      </c>
    </row>
    <row r="6">
      <c r="A6" s="3" t="s">
        <v>121</v>
      </c>
      <c r="B6" s="26">
        <f t="shared" ref="B6:D6" si="2">B4+B5</f>
        <v>4395260</v>
      </c>
      <c r="C6" s="26">
        <f t="shared" si="2"/>
        <v>4600213</v>
      </c>
      <c r="D6" s="26">
        <f t="shared" si="2"/>
        <v>4600213</v>
      </c>
    </row>
    <row r="7">
      <c r="A7" s="3"/>
      <c r="B7" s="3"/>
      <c r="C7" s="3"/>
      <c r="D7" s="3"/>
    </row>
    <row r="8">
      <c r="A8" s="6" t="s">
        <v>122</v>
      </c>
      <c r="B8" s="3"/>
      <c r="C8" s="3"/>
      <c r="D8" s="3"/>
    </row>
    <row r="9">
      <c r="A9" s="3" t="s">
        <v>123</v>
      </c>
      <c r="B9" s="24">
        <f>'Quarterly Balance Sheet'!M16</f>
        <v>72862219</v>
      </c>
      <c r="C9" s="24">
        <f t="shared" ref="C9:D9" si="3">B11</f>
        <v>72862219</v>
      </c>
      <c r="D9" s="24">
        <f t="shared" si="3"/>
        <v>75854532.8</v>
      </c>
    </row>
    <row r="10">
      <c r="A10" s="3" t="s">
        <v>124</v>
      </c>
      <c r="B10" s="26">
        <f>B5*'Assumptions-Forecasting'!B25</f>
        <v>0</v>
      </c>
      <c r="C10" s="26">
        <f>C5*'Assumptions-Forecasting'!B25</f>
        <v>2992313.8</v>
      </c>
      <c r="D10" s="9">
        <v>0.0</v>
      </c>
    </row>
    <row r="11">
      <c r="A11" s="3" t="s">
        <v>99</v>
      </c>
      <c r="B11" s="24">
        <f t="shared" ref="B11:D11" si="4">B9+B10</f>
        <v>72862219</v>
      </c>
      <c r="C11" s="24">
        <f t="shared" si="4"/>
        <v>75854532.8</v>
      </c>
      <c r="D11" s="24">
        <f t="shared" si="4"/>
        <v>75854532.8</v>
      </c>
    </row>
    <row r="12">
      <c r="A12" s="3"/>
      <c r="B12" s="3"/>
      <c r="C12" s="3"/>
      <c r="D12" s="3"/>
    </row>
    <row r="13">
      <c r="A13" s="6" t="s">
        <v>125</v>
      </c>
      <c r="B13" s="3"/>
      <c r="C13" s="3"/>
      <c r="D13" s="3"/>
    </row>
    <row r="14">
      <c r="A14" s="3" t="s">
        <v>126</v>
      </c>
      <c r="B14" s="24">
        <f>'Quarterly Balance Sheet'!M17</f>
        <v>28068905.51</v>
      </c>
      <c r="C14" s="24">
        <f t="shared" ref="C14:D14" si="5">B17</f>
        <v>39314011.9</v>
      </c>
      <c r="D14" s="24">
        <f t="shared" si="5"/>
        <v>3618760.821</v>
      </c>
    </row>
    <row r="15">
      <c r="A15" s="3" t="s">
        <v>127</v>
      </c>
      <c r="B15" s="24">
        <f>'Forecasted Quarterly Profit &amp; L'!C12</f>
        <v>11245106.4</v>
      </c>
      <c r="C15" s="24">
        <f>'Forecasted Quarterly Profit &amp; L'!D12</f>
        <v>11686942.82</v>
      </c>
      <c r="D15" s="24">
        <f>'Forecasted Quarterly Profit &amp; L'!E12</f>
        <v>12145649.4</v>
      </c>
    </row>
    <row r="16">
      <c r="A16" s="3" t="s">
        <v>128</v>
      </c>
      <c r="B16" s="9">
        <v>0.0</v>
      </c>
      <c r="C16" s="26">
        <f>C6*'Assumptions-Forecasting'!B26</f>
        <v>47382193.9</v>
      </c>
      <c r="D16" s="9">
        <v>0.0</v>
      </c>
    </row>
    <row r="17">
      <c r="A17" s="3" t="s">
        <v>99</v>
      </c>
      <c r="B17" s="24">
        <f t="shared" ref="B17:D17" si="6">B14+B15-B16</f>
        <v>39314011.9</v>
      </c>
      <c r="C17" s="24">
        <f t="shared" si="6"/>
        <v>3618760.821</v>
      </c>
      <c r="D17" s="24">
        <f t="shared" si="6"/>
        <v>15764410.22</v>
      </c>
    </row>
    <row r="18">
      <c r="A18" s="3"/>
      <c r="B18" s="3"/>
      <c r="C18" s="3"/>
      <c r="D18" s="3"/>
    </row>
  </sheetData>
  <drawing r:id="rId1"/>
</worksheet>
</file>