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  <sheet state="visible" name="Sort&amp;Filter 1" sheetId="2" r:id="rId5"/>
    <sheet state="visible" name="Sort&amp;Filter 2" sheetId="3" r:id="rId6"/>
    <sheet state="visible" name="Array_Constrain" sheetId="4" r:id="rId7"/>
  </sheets>
  <definedNames/>
  <calcPr/>
</workbook>
</file>

<file path=xl/sharedStrings.xml><?xml version="1.0" encoding="utf-8"?>
<sst xmlns="http://schemas.openxmlformats.org/spreadsheetml/2006/main" count="407" uniqueCount="127">
  <si>
    <t>Salesperson</t>
  </si>
  <si>
    <t>Region</t>
  </si>
  <si>
    <t>Product</t>
  </si>
  <si>
    <t>Quantity Sold</t>
  </si>
  <si>
    <t>Revenue</t>
  </si>
  <si>
    <t>Unit Price</t>
  </si>
  <si>
    <t>Total Profit</t>
  </si>
  <si>
    <t>Aarav Sharma</t>
  </si>
  <si>
    <t>South</t>
  </si>
  <si>
    <t>Cameras</t>
  </si>
  <si>
    <t>Aditi Kapoor</t>
  </si>
  <si>
    <t>Printers</t>
  </si>
  <si>
    <t>Akshay Desai</t>
  </si>
  <si>
    <t>West</t>
  </si>
  <si>
    <t>Keyboards</t>
  </si>
  <si>
    <t>Ananya Patel</t>
  </si>
  <si>
    <t>East</t>
  </si>
  <si>
    <t>Aniket Mehta</t>
  </si>
  <si>
    <t>Anisha Verma</t>
  </si>
  <si>
    <t>North</t>
  </si>
  <si>
    <t>Anuj Joshi</t>
  </si>
  <si>
    <t>Arjun Singhania</t>
  </si>
  <si>
    <t>Bhavya Reddy</t>
  </si>
  <si>
    <t>Chetan Rana</t>
  </si>
  <si>
    <t>Devika Khanna</t>
  </si>
  <si>
    <t>Dhruv Malhotra</t>
  </si>
  <si>
    <t>Esha Shah</t>
  </si>
  <si>
    <t>Gaurav Kumar</t>
  </si>
  <si>
    <t>Geetika Sharma</t>
  </si>
  <si>
    <t>Harshita Jain</t>
  </si>
  <si>
    <t>Ishaan Choudhury</t>
  </si>
  <si>
    <t>Janvi Kapoor</t>
  </si>
  <si>
    <t>Jatin Agrawal</t>
  </si>
  <si>
    <t>Kavya Trivedi</t>
  </si>
  <si>
    <t>Kunal Suri</t>
  </si>
  <si>
    <t>Lavanya Bhatia</t>
  </si>
  <si>
    <t>Lokesh Tiwari</t>
  </si>
  <si>
    <t>Mahima Rao</t>
  </si>
  <si>
    <t>Manish Thakur</t>
  </si>
  <si>
    <t>Meera Nair</t>
  </si>
  <si>
    <t>Mohit Mehra</t>
  </si>
  <si>
    <t>Muskan Chawla</t>
  </si>
  <si>
    <t>Nandini Iyer</t>
  </si>
  <si>
    <t>Navin Rawat</t>
  </si>
  <si>
    <t>Neha Gupta</t>
  </si>
  <si>
    <t>Nikhil Prasad</t>
  </si>
  <si>
    <t>Nisha Malik</t>
  </si>
  <si>
    <t>Parth Saxena</t>
  </si>
  <si>
    <t>Prisha Singh</t>
  </si>
  <si>
    <t>Rajat Kapoor</t>
  </si>
  <si>
    <t>Rhea Sharma</t>
  </si>
  <si>
    <t>Rohit Verma</t>
  </si>
  <si>
    <t>Ruchi Pandey</t>
  </si>
  <si>
    <t>Sahil Kumar</t>
  </si>
  <si>
    <t>Samaira Chopra</t>
  </si>
  <si>
    <t>Sameer Shah</t>
  </si>
  <si>
    <t>Sania Deshmukh</t>
  </si>
  <si>
    <t>Shantanu Joshi</t>
  </si>
  <si>
    <t>Shreya Bajaj</t>
  </si>
  <si>
    <t>Siddharth Patel</t>
  </si>
  <si>
    <t>Simran Khurana</t>
  </si>
  <si>
    <t>Sohan Kapoor</t>
  </si>
  <si>
    <t>Sonali Singh</t>
  </si>
  <si>
    <t>Sourabh Mishra</t>
  </si>
  <si>
    <t>Sruti Menon</t>
  </si>
  <si>
    <t>Suman Gupta</t>
  </si>
  <si>
    <t>Tanvi Rastogi</t>
  </si>
  <si>
    <t>Tarun Aggarwal</t>
  </si>
  <si>
    <t>Trisha Sharma</t>
  </si>
  <si>
    <t>Utkarsh Singh</t>
  </si>
  <si>
    <t>Vaishnavi Iyengar</t>
  </si>
  <si>
    <t>Varun Malik</t>
  </si>
  <si>
    <t>Veda Tiwari</t>
  </si>
  <si>
    <t>Vidya Krishnan</t>
  </si>
  <si>
    <t>Vikas Chauhan</t>
  </si>
  <si>
    <t>Vipul Sharma</t>
  </si>
  <si>
    <t>Yashika Chabra</t>
  </si>
  <si>
    <t>Aditya Varun</t>
  </si>
  <si>
    <t>Aisha Malhotra</t>
  </si>
  <si>
    <t>Akash Rajput</t>
  </si>
  <si>
    <t>Alia Mehrotra</t>
  </si>
  <si>
    <t>Amita Yadav</t>
  </si>
  <si>
    <t>Anirudh Chauhan</t>
  </si>
  <si>
    <t>Anushka Nayar</t>
  </si>
  <si>
    <t>Arnav Kapoor</t>
  </si>
  <si>
    <t>Ayush Gupta</t>
  </si>
  <si>
    <t>Chhavi Singh</t>
  </si>
  <si>
    <t>Deepak Reddy</t>
  </si>
  <si>
    <t>Divya Sharma</t>
  </si>
  <si>
    <t>Harsh Vashisht</t>
  </si>
  <si>
    <t>Ishita Saxena</t>
  </si>
  <si>
    <t>Jai Patel</t>
  </si>
  <si>
    <t>Kanika Khurana</t>
  </si>
  <si>
    <t>Kritika Kapoor</t>
  </si>
  <si>
    <t>Lakshay Aggarwal</t>
  </si>
  <si>
    <t>Maheshwari Iyer</t>
  </si>
  <si>
    <t>Mihir Shah</t>
  </si>
  <si>
    <t>Natasha Bansal</t>
  </si>
  <si>
    <t>Pankaj Kumar</t>
  </si>
  <si>
    <t>Pooja Verma</t>
  </si>
  <si>
    <t>Rahul Yadav</t>
  </si>
  <si>
    <t>Rashmi Rastogi</t>
  </si>
  <si>
    <t>Rishi Thakkar</t>
  </si>
  <si>
    <t>Riya Kapoor</t>
  </si>
  <si>
    <t>Sachin Malhotra</t>
  </si>
  <si>
    <t>Sanya Chopra</t>
  </si>
  <si>
    <t>Shivam Singh</t>
  </si>
  <si>
    <t>Shruti Sharma</t>
  </si>
  <si>
    <t>Suraj Patel</t>
  </si>
  <si>
    <t>Tanisha Gupta</t>
  </si>
  <si>
    <t>Varsha Rawat</t>
  </si>
  <si>
    <t>Yuvraj Singh</t>
  </si>
  <si>
    <t>Table 1</t>
  </si>
  <si>
    <t>Table 4</t>
  </si>
  <si>
    <t>Table 2</t>
  </si>
  <si>
    <t>Table 5</t>
  </si>
  <si>
    <t>Table 3</t>
  </si>
  <si>
    <t>Table 7</t>
  </si>
  <si>
    <t>Table 10</t>
  </si>
  <si>
    <t>Table 11</t>
  </si>
  <si>
    <t>Table 8</t>
  </si>
  <si>
    <t>Table 9</t>
  </si>
  <si>
    <t>Table 13</t>
  </si>
  <si>
    <t>Table 14</t>
  </si>
  <si>
    <t>Table 15</t>
  </si>
  <si>
    <t>Table 16</t>
  </si>
  <si>
    <t>Table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</si>
</sst>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right" vertical="bottom"/>
    </xf>
    <xf borderId="0" fillId="0" fontId="4" numFmtId="0" xfId="0" applyFon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>
        <v>128.0</v>
      </c>
      <c r="E2" s="6">
        <v>384000.0</v>
      </c>
      <c r="F2" s="6">
        <v>3000.0</v>
      </c>
      <c r="G2" s="6">
        <v>115200.0</v>
      </c>
    </row>
    <row r="3">
      <c r="A3" s="4" t="s">
        <v>10</v>
      </c>
      <c r="B3" s="5" t="s">
        <v>8</v>
      </c>
      <c r="C3" s="5" t="s">
        <v>11</v>
      </c>
      <c r="D3" s="6">
        <v>185.0</v>
      </c>
      <c r="E3" s="6">
        <v>1387500.0</v>
      </c>
      <c r="F3" s="6">
        <v>7500.0</v>
      </c>
      <c r="G3" s="6">
        <v>416250.0</v>
      </c>
    </row>
    <row r="4">
      <c r="A4" s="4" t="s">
        <v>12</v>
      </c>
      <c r="B4" s="5" t="s">
        <v>13</v>
      </c>
      <c r="C4" s="5" t="s">
        <v>14</v>
      </c>
      <c r="D4" s="6">
        <v>79.0</v>
      </c>
      <c r="E4" s="6">
        <v>395000.0</v>
      </c>
      <c r="F4" s="6">
        <v>5000.0</v>
      </c>
      <c r="G4" s="6">
        <v>118500.0</v>
      </c>
    </row>
    <row r="5">
      <c r="A5" s="4" t="s">
        <v>15</v>
      </c>
      <c r="B5" s="5" t="s">
        <v>16</v>
      </c>
      <c r="C5" s="5" t="s">
        <v>9</v>
      </c>
      <c r="D5" s="6">
        <v>54.0</v>
      </c>
      <c r="E5" s="6">
        <v>162000.0</v>
      </c>
      <c r="F5" s="6">
        <v>3000.0</v>
      </c>
      <c r="G5" s="6">
        <v>48600.0</v>
      </c>
    </row>
    <row r="6">
      <c r="A6" s="4" t="s">
        <v>17</v>
      </c>
      <c r="B6" s="5" t="s">
        <v>8</v>
      </c>
      <c r="C6" s="5" t="s">
        <v>11</v>
      </c>
      <c r="D6" s="6">
        <v>180.0</v>
      </c>
      <c r="E6" s="6">
        <v>1800000.0</v>
      </c>
      <c r="F6" s="6">
        <v>10000.0</v>
      </c>
      <c r="G6" s="6">
        <v>540000.0</v>
      </c>
    </row>
    <row r="7">
      <c r="A7" s="4" t="s">
        <v>18</v>
      </c>
      <c r="B7" s="5" t="s">
        <v>19</v>
      </c>
      <c r="C7" s="5" t="s">
        <v>14</v>
      </c>
      <c r="D7" s="6">
        <v>99.0</v>
      </c>
      <c r="E7" s="6">
        <v>594000.0</v>
      </c>
      <c r="F7" s="6">
        <v>6000.0</v>
      </c>
      <c r="G7" s="6">
        <v>178200.0</v>
      </c>
    </row>
    <row r="8">
      <c r="A8" s="4" t="s">
        <v>20</v>
      </c>
      <c r="B8" s="5" t="s">
        <v>19</v>
      </c>
      <c r="C8" s="5" t="s">
        <v>9</v>
      </c>
      <c r="D8" s="6">
        <v>34.0</v>
      </c>
      <c r="E8" s="6">
        <v>102000.0</v>
      </c>
      <c r="F8" s="6">
        <v>3000.0</v>
      </c>
      <c r="G8" s="6">
        <v>30600.0</v>
      </c>
    </row>
    <row r="9">
      <c r="A9" s="4" t="s">
        <v>21</v>
      </c>
      <c r="B9" s="5" t="s">
        <v>13</v>
      </c>
      <c r="C9" s="5" t="s">
        <v>11</v>
      </c>
      <c r="D9" s="6">
        <v>120.0</v>
      </c>
      <c r="E9" s="6">
        <v>1200000.0</v>
      </c>
      <c r="F9" s="6">
        <v>10000.0</v>
      </c>
      <c r="G9" s="6">
        <v>360000.0</v>
      </c>
    </row>
    <row r="10">
      <c r="A10" s="4" t="s">
        <v>22</v>
      </c>
      <c r="B10" s="5" t="s">
        <v>19</v>
      </c>
      <c r="C10" s="5" t="s">
        <v>14</v>
      </c>
      <c r="D10" s="6">
        <v>160.0</v>
      </c>
      <c r="E10" s="6">
        <v>960000.0</v>
      </c>
      <c r="F10" s="6">
        <v>6000.0</v>
      </c>
      <c r="G10" s="6">
        <v>288000.0</v>
      </c>
    </row>
    <row r="11">
      <c r="A11" s="4" t="s">
        <v>23</v>
      </c>
      <c r="B11" s="5" t="s">
        <v>13</v>
      </c>
      <c r="C11" s="5" t="s">
        <v>9</v>
      </c>
      <c r="D11" s="6">
        <v>182.0</v>
      </c>
      <c r="E11" s="6">
        <v>546000.0</v>
      </c>
      <c r="F11" s="6">
        <v>3000.0</v>
      </c>
      <c r="G11" s="6">
        <v>163800.0</v>
      </c>
    </row>
    <row r="12">
      <c r="A12" s="4" t="s">
        <v>24</v>
      </c>
      <c r="B12" s="5" t="s">
        <v>13</v>
      </c>
      <c r="C12" s="5" t="s">
        <v>11</v>
      </c>
      <c r="D12" s="6">
        <v>196.0</v>
      </c>
      <c r="E12" s="6">
        <v>1960000.0</v>
      </c>
      <c r="F12" s="6">
        <v>10000.0</v>
      </c>
      <c r="G12" s="6">
        <v>588000.0</v>
      </c>
    </row>
    <row r="13">
      <c r="A13" s="4" t="s">
        <v>25</v>
      </c>
      <c r="B13" s="5" t="s">
        <v>19</v>
      </c>
      <c r="C13" s="5" t="s">
        <v>14</v>
      </c>
      <c r="D13" s="6">
        <v>138.0</v>
      </c>
      <c r="E13" s="6">
        <v>828000.0</v>
      </c>
      <c r="F13" s="6">
        <v>6000.0</v>
      </c>
      <c r="G13" s="6">
        <v>248400.0</v>
      </c>
    </row>
    <row r="14">
      <c r="A14" s="4" t="s">
        <v>26</v>
      </c>
      <c r="B14" s="5" t="s">
        <v>19</v>
      </c>
      <c r="C14" s="5" t="s">
        <v>9</v>
      </c>
      <c r="D14" s="6">
        <v>102.0</v>
      </c>
      <c r="E14" s="6">
        <v>306000.0</v>
      </c>
      <c r="F14" s="6">
        <v>3000.0</v>
      </c>
      <c r="G14" s="6">
        <v>91800.0</v>
      </c>
    </row>
    <row r="15">
      <c r="A15" s="4" t="s">
        <v>27</v>
      </c>
      <c r="B15" s="5" t="s">
        <v>16</v>
      </c>
      <c r="C15" s="5" t="s">
        <v>11</v>
      </c>
      <c r="D15" s="6">
        <v>11.0</v>
      </c>
      <c r="E15" s="6">
        <v>82500.0</v>
      </c>
      <c r="F15" s="6">
        <v>7500.0</v>
      </c>
      <c r="G15" s="6">
        <v>24750.0</v>
      </c>
    </row>
    <row r="16">
      <c r="A16" s="4" t="s">
        <v>28</v>
      </c>
      <c r="B16" s="5" t="s">
        <v>19</v>
      </c>
      <c r="C16" s="5" t="s">
        <v>14</v>
      </c>
      <c r="D16" s="6">
        <v>144.0</v>
      </c>
      <c r="E16" s="6">
        <v>720000.0</v>
      </c>
      <c r="F16" s="6">
        <v>5000.0</v>
      </c>
      <c r="G16" s="6">
        <v>216000.0</v>
      </c>
    </row>
    <row r="17">
      <c r="A17" s="4" t="s">
        <v>29</v>
      </c>
      <c r="B17" s="5" t="s">
        <v>8</v>
      </c>
      <c r="C17" s="5" t="s">
        <v>9</v>
      </c>
      <c r="D17" s="6">
        <v>13.0</v>
      </c>
      <c r="E17" s="6">
        <v>39000.0</v>
      </c>
      <c r="F17" s="6">
        <v>3000.0</v>
      </c>
      <c r="G17" s="6">
        <v>11700.0</v>
      </c>
    </row>
    <row r="18">
      <c r="A18" s="4" t="s">
        <v>30</v>
      </c>
      <c r="B18" s="5" t="s">
        <v>19</v>
      </c>
      <c r="C18" s="5" t="s">
        <v>11</v>
      </c>
      <c r="D18" s="6">
        <v>164.0</v>
      </c>
      <c r="E18" s="6">
        <v>1640000.0</v>
      </c>
      <c r="F18" s="6">
        <v>10000.0</v>
      </c>
      <c r="G18" s="6">
        <v>492000.0</v>
      </c>
    </row>
    <row r="19">
      <c r="A19" s="4" t="s">
        <v>31</v>
      </c>
      <c r="B19" s="5" t="s">
        <v>8</v>
      </c>
      <c r="C19" s="5" t="s">
        <v>14</v>
      </c>
      <c r="D19" s="6">
        <v>36.0</v>
      </c>
      <c r="E19" s="6">
        <v>216000.0</v>
      </c>
      <c r="F19" s="6">
        <v>6000.0</v>
      </c>
      <c r="G19" s="6">
        <v>64800.0</v>
      </c>
    </row>
    <row r="20">
      <c r="A20" s="4" t="s">
        <v>32</v>
      </c>
      <c r="B20" s="5" t="s">
        <v>13</v>
      </c>
      <c r="C20" s="5" t="s">
        <v>9</v>
      </c>
      <c r="D20" s="6">
        <v>39.0</v>
      </c>
      <c r="E20" s="6">
        <v>117000.0</v>
      </c>
      <c r="F20" s="6">
        <v>3000.0</v>
      </c>
      <c r="G20" s="6">
        <v>35100.0</v>
      </c>
    </row>
    <row r="21">
      <c r="A21" s="4" t="s">
        <v>33</v>
      </c>
      <c r="B21" s="5" t="s">
        <v>16</v>
      </c>
      <c r="C21" s="5" t="s">
        <v>11</v>
      </c>
      <c r="D21" s="6">
        <v>76.0</v>
      </c>
      <c r="E21" s="6">
        <v>760000.0</v>
      </c>
      <c r="F21" s="6">
        <v>10000.0</v>
      </c>
      <c r="G21" s="6">
        <v>228000.0</v>
      </c>
    </row>
    <row r="22">
      <c r="A22" s="4" t="s">
        <v>34</v>
      </c>
      <c r="B22" s="5" t="s">
        <v>13</v>
      </c>
      <c r="C22" s="5" t="s">
        <v>9</v>
      </c>
      <c r="D22" s="6">
        <v>87.0</v>
      </c>
      <c r="E22" s="6">
        <v>261000.0</v>
      </c>
      <c r="F22" s="6">
        <v>3000.0</v>
      </c>
      <c r="G22" s="6">
        <v>78300.0</v>
      </c>
    </row>
    <row r="23">
      <c r="A23" s="4" t="s">
        <v>35</v>
      </c>
      <c r="B23" s="5" t="s">
        <v>13</v>
      </c>
      <c r="C23" s="5" t="s">
        <v>11</v>
      </c>
      <c r="D23" s="6">
        <v>73.0</v>
      </c>
      <c r="E23" s="6">
        <v>547500.0</v>
      </c>
      <c r="F23" s="6">
        <v>7500.0</v>
      </c>
      <c r="G23" s="6">
        <v>164250.0</v>
      </c>
    </row>
    <row r="24">
      <c r="A24" s="4" t="s">
        <v>36</v>
      </c>
      <c r="B24" s="5" t="s">
        <v>16</v>
      </c>
      <c r="C24" s="5" t="s">
        <v>14</v>
      </c>
      <c r="D24" s="6">
        <v>152.0</v>
      </c>
      <c r="E24" s="6">
        <v>760000.0</v>
      </c>
      <c r="F24" s="6">
        <v>5000.0</v>
      </c>
      <c r="G24" s="6">
        <v>228000.0</v>
      </c>
    </row>
    <row r="25">
      <c r="A25" s="4" t="s">
        <v>37</v>
      </c>
      <c r="B25" s="5" t="s">
        <v>19</v>
      </c>
      <c r="C25" s="5" t="s">
        <v>9</v>
      </c>
      <c r="D25" s="6">
        <v>68.0</v>
      </c>
      <c r="E25" s="6">
        <v>204000.0</v>
      </c>
      <c r="F25" s="6">
        <v>3000.0</v>
      </c>
      <c r="G25" s="6">
        <v>61200.0</v>
      </c>
    </row>
    <row r="26">
      <c r="A26" s="4" t="s">
        <v>38</v>
      </c>
      <c r="B26" s="5" t="s">
        <v>13</v>
      </c>
      <c r="C26" s="5" t="s">
        <v>11</v>
      </c>
      <c r="D26" s="6">
        <v>191.0</v>
      </c>
      <c r="E26" s="6">
        <v>1910000.0</v>
      </c>
      <c r="F26" s="6">
        <v>10000.0</v>
      </c>
      <c r="G26" s="6">
        <v>573000.0</v>
      </c>
    </row>
    <row r="27">
      <c r="A27" s="4" t="s">
        <v>39</v>
      </c>
      <c r="B27" s="5" t="s">
        <v>16</v>
      </c>
      <c r="C27" s="5" t="s">
        <v>14</v>
      </c>
      <c r="D27" s="6">
        <v>68.0</v>
      </c>
      <c r="E27" s="6">
        <v>408000.0</v>
      </c>
      <c r="F27" s="6">
        <v>6000.0</v>
      </c>
      <c r="G27" s="6">
        <v>122400.0</v>
      </c>
    </row>
    <row r="28">
      <c r="A28" s="4" t="s">
        <v>40</v>
      </c>
      <c r="B28" s="5" t="s">
        <v>19</v>
      </c>
      <c r="C28" s="5" t="s">
        <v>9</v>
      </c>
      <c r="D28" s="6">
        <v>166.0</v>
      </c>
      <c r="E28" s="6">
        <v>498000.0</v>
      </c>
      <c r="F28" s="6">
        <v>3000.0</v>
      </c>
      <c r="G28" s="6">
        <v>149400.0</v>
      </c>
    </row>
    <row r="29">
      <c r="A29" s="4" t="s">
        <v>41</v>
      </c>
      <c r="B29" s="5" t="s">
        <v>13</v>
      </c>
      <c r="C29" s="5" t="s">
        <v>11</v>
      </c>
      <c r="D29" s="6">
        <v>193.0</v>
      </c>
      <c r="E29" s="6">
        <v>1930000.0</v>
      </c>
      <c r="F29" s="6">
        <v>10000.0</v>
      </c>
      <c r="G29" s="6">
        <v>579000.0</v>
      </c>
    </row>
    <row r="30">
      <c r="A30" s="4" t="s">
        <v>42</v>
      </c>
      <c r="B30" s="5" t="s">
        <v>16</v>
      </c>
      <c r="C30" s="5" t="s">
        <v>14</v>
      </c>
      <c r="D30" s="6">
        <v>125.0</v>
      </c>
      <c r="E30" s="6">
        <v>750000.0</v>
      </c>
      <c r="F30" s="6">
        <v>6000.0</v>
      </c>
      <c r="G30" s="6">
        <v>225000.0</v>
      </c>
    </row>
    <row r="31">
      <c r="A31" s="4" t="s">
        <v>43</v>
      </c>
      <c r="B31" s="5" t="s">
        <v>13</v>
      </c>
      <c r="C31" s="5" t="s">
        <v>9</v>
      </c>
      <c r="D31" s="6">
        <v>175.0</v>
      </c>
      <c r="E31" s="6">
        <v>647500.0</v>
      </c>
      <c r="F31" s="6">
        <v>3700.0</v>
      </c>
      <c r="G31" s="6">
        <v>194250.0</v>
      </c>
    </row>
    <row r="32">
      <c r="A32" s="4" t="s">
        <v>44</v>
      </c>
      <c r="B32" s="5" t="s">
        <v>19</v>
      </c>
      <c r="C32" s="5" t="s">
        <v>11</v>
      </c>
      <c r="D32" s="6">
        <v>32.0</v>
      </c>
      <c r="E32" s="6">
        <v>320000.0</v>
      </c>
      <c r="F32" s="6">
        <v>10000.0</v>
      </c>
      <c r="G32" s="6">
        <v>96000.0</v>
      </c>
    </row>
    <row r="33">
      <c r="A33" s="4" t="s">
        <v>45</v>
      </c>
      <c r="B33" s="5" t="s">
        <v>16</v>
      </c>
      <c r="C33" s="5" t="s">
        <v>14</v>
      </c>
      <c r="D33" s="6">
        <v>184.0</v>
      </c>
      <c r="E33" s="6">
        <v>1104000.0</v>
      </c>
      <c r="F33" s="6">
        <v>6000.0</v>
      </c>
      <c r="G33" s="6">
        <v>331200.0</v>
      </c>
    </row>
    <row r="34">
      <c r="A34" s="4" t="s">
        <v>46</v>
      </c>
      <c r="B34" s="5" t="s">
        <v>16</v>
      </c>
      <c r="C34" s="5" t="s">
        <v>9</v>
      </c>
      <c r="D34" s="6">
        <v>98.0</v>
      </c>
      <c r="E34" s="6">
        <v>294000.0</v>
      </c>
      <c r="F34" s="6">
        <v>3000.0</v>
      </c>
      <c r="G34" s="6">
        <v>88200.0</v>
      </c>
    </row>
    <row r="35">
      <c r="A35" s="4" t="s">
        <v>47</v>
      </c>
      <c r="B35" s="5" t="s">
        <v>19</v>
      </c>
      <c r="C35" s="5" t="s">
        <v>11</v>
      </c>
      <c r="D35" s="6">
        <v>86.0</v>
      </c>
      <c r="E35" s="6">
        <v>645000.0</v>
      </c>
      <c r="F35" s="6">
        <v>7500.0</v>
      </c>
      <c r="G35" s="6">
        <v>193500.0</v>
      </c>
    </row>
    <row r="36">
      <c r="A36" s="4" t="s">
        <v>48</v>
      </c>
      <c r="B36" s="5" t="s">
        <v>19</v>
      </c>
      <c r="C36" s="5" t="s">
        <v>14</v>
      </c>
      <c r="D36" s="6">
        <v>190.0</v>
      </c>
      <c r="E36" s="6">
        <v>950000.0</v>
      </c>
      <c r="F36" s="6">
        <v>5000.0</v>
      </c>
      <c r="G36" s="6">
        <v>285000.0</v>
      </c>
    </row>
    <row r="37">
      <c r="A37" s="4" t="s">
        <v>49</v>
      </c>
      <c r="B37" s="5" t="s">
        <v>13</v>
      </c>
      <c r="C37" s="5" t="s">
        <v>9</v>
      </c>
      <c r="D37" s="6">
        <v>136.0</v>
      </c>
      <c r="E37" s="6">
        <v>408000.0</v>
      </c>
      <c r="F37" s="6">
        <v>3000.0</v>
      </c>
      <c r="G37" s="6">
        <v>122400.0</v>
      </c>
    </row>
    <row r="38">
      <c r="A38" s="4" t="s">
        <v>50</v>
      </c>
      <c r="B38" s="5" t="s">
        <v>8</v>
      </c>
      <c r="C38" s="5" t="s">
        <v>11</v>
      </c>
      <c r="D38" s="6">
        <v>103.0</v>
      </c>
      <c r="E38" s="6">
        <v>1030000.0</v>
      </c>
      <c r="F38" s="6">
        <v>10000.0</v>
      </c>
      <c r="G38" s="6">
        <v>309000.0</v>
      </c>
    </row>
    <row r="39">
      <c r="A39" s="4" t="s">
        <v>51</v>
      </c>
      <c r="B39" s="5" t="s">
        <v>8</v>
      </c>
      <c r="C39" s="5" t="s">
        <v>14</v>
      </c>
      <c r="D39" s="6">
        <v>62.0</v>
      </c>
      <c r="E39" s="6">
        <v>372000.0</v>
      </c>
      <c r="F39" s="6">
        <v>6000.0</v>
      </c>
      <c r="G39" s="6">
        <v>111600.0</v>
      </c>
    </row>
    <row r="40">
      <c r="A40" s="4" t="s">
        <v>52</v>
      </c>
      <c r="B40" s="5" t="s">
        <v>8</v>
      </c>
      <c r="C40" s="5" t="s">
        <v>9</v>
      </c>
      <c r="D40" s="6">
        <v>140.0</v>
      </c>
      <c r="E40" s="6">
        <v>420000.0</v>
      </c>
      <c r="F40" s="6">
        <v>3000.0</v>
      </c>
      <c r="G40" s="6">
        <v>126000.0</v>
      </c>
    </row>
    <row r="41">
      <c r="A41" s="4" t="s">
        <v>53</v>
      </c>
      <c r="B41" s="5" t="s">
        <v>8</v>
      </c>
      <c r="C41" s="5" t="s">
        <v>11</v>
      </c>
      <c r="D41" s="6">
        <v>83.0</v>
      </c>
      <c r="E41" s="6">
        <v>830000.0</v>
      </c>
      <c r="F41" s="6">
        <v>10000.0</v>
      </c>
      <c r="G41" s="6">
        <v>249000.0</v>
      </c>
    </row>
    <row r="42">
      <c r="A42" s="4" t="s">
        <v>54</v>
      </c>
      <c r="B42" s="5" t="s">
        <v>19</v>
      </c>
      <c r="C42" s="5" t="s">
        <v>9</v>
      </c>
      <c r="D42" s="6">
        <v>112.0</v>
      </c>
      <c r="E42" s="6">
        <v>336000.0</v>
      </c>
      <c r="F42" s="6">
        <v>3000.0</v>
      </c>
      <c r="G42" s="6">
        <v>100800.0</v>
      </c>
    </row>
    <row r="43">
      <c r="A43" s="4" t="s">
        <v>55</v>
      </c>
      <c r="B43" s="5" t="s">
        <v>8</v>
      </c>
      <c r="C43" s="5" t="s">
        <v>11</v>
      </c>
      <c r="D43" s="6">
        <v>37.0</v>
      </c>
      <c r="E43" s="6">
        <v>277500.0</v>
      </c>
      <c r="F43" s="6">
        <v>7500.0</v>
      </c>
      <c r="G43" s="6">
        <v>83250.0</v>
      </c>
    </row>
    <row r="44">
      <c r="A44" s="4" t="s">
        <v>56</v>
      </c>
      <c r="B44" s="5" t="s">
        <v>16</v>
      </c>
      <c r="C44" s="5" t="s">
        <v>14</v>
      </c>
      <c r="D44" s="6">
        <v>58.0</v>
      </c>
      <c r="E44" s="6">
        <v>290000.0</v>
      </c>
      <c r="F44" s="6">
        <v>5000.0</v>
      </c>
      <c r="G44" s="6">
        <v>87000.0</v>
      </c>
    </row>
    <row r="45">
      <c r="A45" s="4" t="s">
        <v>57</v>
      </c>
      <c r="B45" s="5" t="s">
        <v>13</v>
      </c>
      <c r="C45" s="5" t="s">
        <v>9</v>
      </c>
      <c r="D45" s="6">
        <v>126.0</v>
      </c>
      <c r="E45" s="6">
        <v>378000.0</v>
      </c>
      <c r="F45" s="6">
        <v>3000.0</v>
      </c>
      <c r="G45" s="6">
        <v>113400.0</v>
      </c>
    </row>
    <row r="46">
      <c r="A46" s="4" t="s">
        <v>58</v>
      </c>
      <c r="B46" s="5" t="s">
        <v>8</v>
      </c>
      <c r="C46" s="5" t="s">
        <v>11</v>
      </c>
      <c r="D46" s="6">
        <v>118.0</v>
      </c>
      <c r="E46" s="6">
        <v>1180000.0</v>
      </c>
      <c r="F46" s="6">
        <v>10000.0</v>
      </c>
      <c r="G46" s="6">
        <v>354000.0</v>
      </c>
    </row>
    <row r="47">
      <c r="A47" s="4" t="s">
        <v>59</v>
      </c>
      <c r="B47" s="5" t="s">
        <v>13</v>
      </c>
      <c r="C47" s="5" t="s">
        <v>14</v>
      </c>
      <c r="D47" s="6">
        <v>102.0</v>
      </c>
      <c r="E47" s="6">
        <v>612000.0</v>
      </c>
      <c r="F47" s="6">
        <v>6000.0</v>
      </c>
      <c r="G47" s="6">
        <v>183600.0</v>
      </c>
    </row>
    <row r="48">
      <c r="A48" s="4" t="s">
        <v>60</v>
      </c>
      <c r="B48" s="5" t="s">
        <v>19</v>
      </c>
      <c r="C48" s="5" t="s">
        <v>9</v>
      </c>
      <c r="D48" s="6">
        <v>109.0</v>
      </c>
      <c r="E48" s="6">
        <v>327000.0</v>
      </c>
      <c r="F48" s="6">
        <v>3000.0</v>
      </c>
      <c r="G48" s="6">
        <v>98100.0</v>
      </c>
    </row>
    <row r="49">
      <c r="A49" s="4" t="s">
        <v>61</v>
      </c>
      <c r="B49" s="5" t="s">
        <v>16</v>
      </c>
      <c r="C49" s="5" t="s">
        <v>11</v>
      </c>
      <c r="D49" s="6">
        <v>113.0</v>
      </c>
      <c r="E49" s="6">
        <v>1130000.0</v>
      </c>
      <c r="F49" s="6">
        <v>10000.0</v>
      </c>
      <c r="G49" s="6">
        <v>339000.0</v>
      </c>
    </row>
    <row r="50">
      <c r="A50" s="4" t="s">
        <v>62</v>
      </c>
      <c r="B50" s="5" t="s">
        <v>8</v>
      </c>
      <c r="C50" s="5" t="s">
        <v>14</v>
      </c>
      <c r="D50" s="6">
        <v>113.0</v>
      </c>
      <c r="E50" s="6">
        <v>678000.0</v>
      </c>
      <c r="F50" s="6">
        <v>6000.0</v>
      </c>
      <c r="G50" s="6">
        <v>203400.0</v>
      </c>
    </row>
    <row r="51">
      <c r="A51" s="4" t="s">
        <v>63</v>
      </c>
      <c r="B51" s="5" t="s">
        <v>13</v>
      </c>
      <c r="C51" s="5" t="s">
        <v>9</v>
      </c>
      <c r="D51" s="6">
        <v>160.0</v>
      </c>
      <c r="E51" s="6">
        <v>480000.0</v>
      </c>
      <c r="F51" s="6">
        <v>3000.0</v>
      </c>
      <c r="G51" s="6">
        <v>144000.0</v>
      </c>
    </row>
    <row r="52">
      <c r="A52" s="4" t="s">
        <v>64</v>
      </c>
      <c r="B52" s="5" t="s">
        <v>19</v>
      </c>
      <c r="C52" s="5" t="s">
        <v>11</v>
      </c>
      <c r="D52" s="6">
        <v>104.0</v>
      </c>
      <c r="E52" s="6">
        <v>1040000.0</v>
      </c>
      <c r="F52" s="6">
        <v>10000.0</v>
      </c>
      <c r="G52" s="6">
        <v>312000.0</v>
      </c>
    </row>
    <row r="53">
      <c r="A53" s="4" t="s">
        <v>65</v>
      </c>
      <c r="B53" s="5" t="s">
        <v>19</v>
      </c>
      <c r="C53" s="5" t="s">
        <v>14</v>
      </c>
      <c r="D53" s="6">
        <v>71.0</v>
      </c>
      <c r="E53" s="6">
        <v>426000.0</v>
      </c>
      <c r="F53" s="6">
        <v>6000.0</v>
      </c>
      <c r="G53" s="6">
        <v>127800.0</v>
      </c>
    </row>
    <row r="54">
      <c r="A54" s="4" t="s">
        <v>66</v>
      </c>
      <c r="B54" s="5" t="s">
        <v>16</v>
      </c>
      <c r="C54" s="5" t="s">
        <v>9</v>
      </c>
      <c r="D54" s="6">
        <v>158.0</v>
      </c>
      <c r="E54" s="6">
        <v>474000.0</v>
      </c>
      <c r="F54" s="6">
        <v>3000.0</v>
      </c>
      <c r="G54" s="6">
        <v>142200.0</v>
      </c>
    </row>
    <row r="55">
      <c r="A55" s="4" t="s">
        <v>67</v>
      </c>
      <c r="B55" s="5" t="s">
        <v>19</v>
      </c>
      <c r="C55" s="5" t="s">
        <v>11</v>
      </c>
      <c r="D55" s="6">
        <v>66.0</v>
      </c>
      <c r="E55" s="6">
        <v>495000.0</v>
      </c>
      <c r="F55" s="6">
        <v>7500.0</v>
      </c>
      <c r="G55" s="6">
        <v>148500.0</v>
      </c>
    </row>
    <row r="56">
      <c r="A56" s="4" t="s">
        <v>68</v>
      </c>
      <c r="B56" s="5" t="s">
        <v>8</v>
      </c>
      <c r="C56" s="5" t="s">
        <v>14</v>
      </c>
      <c r="D56" s="6">
        <v>167.0</v>
      </c>
      <c r="E56" s="6">
        <v>835000.0</v>
      </c>
      <c r="F56" s="6">
        <v>5000.0</v>
      </c>
      <c r="G56" s="6">
        <v>250500.0</v>
      </c>
    </row>
    <row r="57">
      <c r="A57" s="4" t="s">
        <v>69</v>
      </c>
      <c r="B57" s="5" t="s">
        <v>8</v>
      </c>
      <c r="C57" s="5" t="s">
        <v>9</v>
      </c>
      <c r="D57" s="6">
        <v>164.0</v>
      </c>
      <c r="E57" s="6">
        <v>492000.0</v>
      </c>
      <c r="F57" s="6">
        <v>3000.0</v>
      </c>
      <c r="G57" s="6">
        <v>147600.0</v>
      </c>
    </row>
    <row r="58">
      <c r="A58" s="4" t="s">
        <v>70</v>
      </c>
      <c r="B58" s="5" t="s">
        <v>16</v>
      </c>
      <c r="C58" s="5" t="s">
        <v>11</v>
      </c>
      <c r="D58" s="6">
        <v>85.0</v>
      </c>
      <c r="E58" s="6">
        <v>850000.0</v>
      </c>
      <c r="F58" s="6">
        <v>10000.0</v>
      </c>
      <c r="G58" s="6">
        <v>255000.0</v>
      </c>
    </row>
    <row r="59">
      <c r="A59" s="4" t="s">
        <v>71</v>
      </c>
      <c r="B59" s="5" t="s">
        <v>13</v>
      </c>
      <c r="C59" s="5" t="s">
        <v>14</v>
      </c>
      <c r="D59" s="6">
        <v>75.0</v>
      </c>
      <c r="E59" s="6">
        <v>450000.0</v>
      </c>
      <c r="F59" s="6">
        <v>6000.0</v>
      </c>
      <c r="G59" s="6">
        <v>135000.0</v>
      </c>
    </row>
    <row r="60">
      <c r="A60" s="4" t="s">
        <v>72</v>
      </c>
      <c r="B60" s="5" t="s">
        <v>19</v>
      </c>
      <c r="C60" s="5" t="s">
        <v>9</v>
      </c>
      <c r="D60" s="6">
        <v>136.0</v>
      </c>
      <c r="E60" s="6">
        <v>408000.0</v>
      </c>
      <c r="F60" s="6">
        <v>3000.0</v>
      </c>
      <c r="G60" s="6">
        <v>122400.0</v>
      </c>
    </row>
    <row r="61">
      <c r="A61" s="4" t="s">
        <v>73</v>
      </c>
      <c r="B61" s="5" t="s">
        <v>16</v>
      </c>
      <c r="C61" s="5" t="s">
        <v>11</v>
      </c>
      <c r="D61" s="6">
        <v>10.0</v>
      </c>
      <c r="E61" s="6">
        <v>100000.0</v>
      </c>
      <c r="F61" s="6">
        <v>10000.0</v>
      </c>
      <c r="G61" s="6">
        <v>30000.0</v>
      </c>
    </row>
    <row r="62">
      <c r="A62" s="4" t="s">
        <v>74</v>
      </c>
      <c r="B62" s="5" t="s">
        <v>16</v>
      </c>
      <c r="C62" s="5" t="s">
        <v>9</v>
      </c>
      <c r="D62" s="6">
        <v>79.0</v>
      </c>
      <c r="E62" s="6">
        <v>237000.0</v>
      </c>
      <c r="F62" s="6">
        <v>3000.0</v>
      </c>
      <c r="G62" s="6">
        <v>71100.0</v>
      </c>
    </row>
    <row r="63">
      <c r="A63" s="4" t="s">
        <v>75</v>
      </c>
      <c r="B63" s="5" t="s">
        <v>13</v>
      </c>
      <c r="C63" s="5" t="s">
        <v>11</v>
      </c>
      <c r="D63" s="6">
        <v>161.0</v>
      </c>
      <c r="E63" s="6">
        <v>1207500.0</v>
      </c>
      <c r="F63" s="6">
        <v>7500.0</v>
      </c>
      <c r="G63" s="6">
        <v>362250.0</v>
      </c>
    </row>
    <row r="64">
      <c r="A64" s="4" t="s">
        <v>76</v>
      </c>
      <c r="B64" s="5" t="s">
        <v>13</v>
      </c>
      <c r="C64" s="5" t="s">
        <v>14</v>
      </c>
      <c r="D64" s="6">
        <v>38.0</v>
      </c>
      <c r="E64" s="6">
        <v>190000.0</v>
      </c>
      <c r="F64" s="6">
        <v>5000.0</v>
      </c>
      <c r="G64" s="6">
        <v>57000.0</v>
      </c>
    </row>
    <row r="65">
      <c r="A65" s="4" t="s">
        <v>77</v>
      </c>
      <c r="B65" s="5" t="s">
        <v>13</v>
      </c>
      <c r="C65" s="5" t="s">
        <v>9</v>
      </c>
      <c r="D65" s="6">
        <v>160.0</v>
      </c>
      <c r="E65" s="6">
        <v>480000.0</v>
      </c>
      <c r="F65" s="6">
        <v>3000.0</v>
      </c>
      <c r="G65" s="6">
        <v>144000.0</v>
      </c>
    </row>
    <row r="66">
      <c r="A66" s="4" t="s">
        <v>78</v>
      </c>
      <c r="B66" s="5" t="s">
        <v>13</v>
      </c>
      <c r="C66" s="5" t="s">
        <v>11</v>
      </c>
      <c r="D66" s="6">
        <v>21.0</v>
      </c>
      <c r="E66" s="6">
        <v>210000.0</v>
      </c>
      <c r="F66" s="6">
        <v>10000.0</v>
      </c>
      <c r="G66" s="6">
        <v>63000.0</v>
      </c>
    </row>
    <row r="67">
      <c r="A67" s="4" t="s">
        <v>79</v>
      </c>
      <c r="B67" s="5" t="s">
        <v>16</v>
      </c>
      <c r="C67" s="5" t="s">
        <v>14</v>
      </c>
      <c r="D67" s="6">
        <v>104.0</v>
      </c>
      <c r="E67" s="6">
        <v>624000.0</v>
      </c>
      <c r="F67" s="6">
        <v>6000.0</v>
      </c>
      <c r="G67" s="6">
        <v>187200.0</v>
      </c>
    </row>
    <row r="68">
      <c r="A68" s="4" t="s">
        <v>80</v>
      </c>
      <c r="B68" s="5" t="s">
        <v>16</v>
      </c>
      <c r="C68" s="5" t="s">
        <v>9</v>
      </c>
      <c r="D68" s="6">
        <v>181.0</v>
      </c>
      <c r="E68" s="6">
        <v>543000.0</v>
      </c>
      <c r="F68" s="6">
        <v>3000.0</v>
      </c>
      <c r="G68" s="6">
        <v>162900.0</v>
      </c>
    </row>
    <row r="69">
      <c r="A69" s="4" t="s">
        <v>81</v>
      </c>
      <c r="B69" s="5" t="s">
        <v>8</v>
      </c>
      <c r="C69" s="5" t="s">
        <v>11</v>
      </c>
      <c r="D69" s="6">
        <v>11.0</v>
      </c>
      <c r="E69" s="6">
        <v>110000.0</v>
      </c>
      <c r="F69" s="6">
        <v>10000.0</v>
      </c>
      <c r="G69" s="6">
        <v>33000.0</v>
      </c>
    </row>
    <row r="70">
      <c r="A70" s="4" t="s">
        <v>82</v>
      </c>
      <c r="B70" s="5" t="s">
        <v>8</v>
      </c>
      <c r="C70" s="5" t="s">
        <v>14</v>
      </c>
      <c r="D70" s="6">
        <v>134.0</v>
      </c>
      <c r="E70" s="6">
        <v>804000.0</v>
      </c>
      <c r="F70" s="6">
        <v>6000.0</v>
      </c>
      <c r="G70" s="6">
        <v>241200.0</v>
      </c>
    </row>
    <row r="71">
      <c r="A71" s="4" t="s">
        <v>83</v>
      </c>
      <c r="B71" s="5" t="s">
        <v>19</v>
      </c>
      <c r="C71" s="5" t="s">
        <v>9</v>
      </c>
      <c r="D71" s="6">
        <v>182.0</v>
      </c>
      <c r="E71" s="6">
        <v>546000.0</v>
      </c>
      <c r="F71" s="6">
        <v>3000.0</v>
      </c>
      <c r="G71" s="6">
        <v>163800.0</v>
      </c>
    </row>
    <row r="72">
      <c r="A72" s="4" t="s">
        <v>84</v>
      </c>
      <c r="B72" s="5" t="s">
        <v>19</v>
      </c>
      <c r="C72" s="5" t="s">
        <v>11</v>
      </c>
      <c r="D72" s="6">
        <v>136.0</v>
      </c>
      <c r="E72" s="6">
        <v>1360000.0</v>
      </c>
      <c r="F72" s="6">
        <v>10000.0</v>
      </c>
      <c r="G72" s="6">
        <v>408000.0</v>
      </c>
    </row>
    <row r="73">
      <c r="A73" s="4" t="s">
        <v>85</v>
      </c>
      <c r="B73" s="5" t="s">
        <v>8</v>
      </c>
      <c r="C73" s="5" t="s">
        <v>14</v>
      </c>
      <c r="D73" s="6">
        <v>126.0</v>
      </c>
      <c r="E73" s="6">
        <v>756000.0</v>
      </c>
      <c r="F73" s="6">
        <v>6000.0</v>
      </c>
      <c r="G73" s="6">
        <v>226800.0</v>
      </c>
    </row>
    <row r="74">
      <c r="A74" s="4" t="s">
        <v>86</v>
      </c>
      <c r="B74" s="5" t="s">
        <v>19</v>
      </c>
      <c r="C74" s="5" t="s">
        <v>9</v>
      </c>
      <c r="D74" s="6">
        <v>140.0</v>
      </c>
      <c r="E74" s="6">
        <v>420000.0</v>
      </c>
      <c r="F74" s="6">
        <v>3000.0</v>
      </c>
      <c r="G74" s="6">
        <v>126000.0</v>
      </c>
    </row>
    <row r="75">
      <c r="A75" s="4" t="s">
        <v>87</v>
      </c>
      <c r="B75" s="5" t="s">
        <v>16</v>
      </c>
      <c r="C75" s="5" t="s">
        <v>11</v>
      </c>
      <c r="D75" s="6">
        <v>149.0</v>
      </c>
      <c r="E75" s="6">
        <v>1117500.0</v>
      </c>
      <c r="F75" s="6">
        <v>7500.0</v>
      </c>
      <c r="G75" s="6">
        <v>335250.0</v>
      </c>
    </row>
    <row r="76">
      <c r="A76" s="4" t="s">
        <v>88</v>
      </c>
      <c r="B76" s="5" t="s">
        <v>19</v>
      </c>
      <c r="C76" s="5" t="s">
        <v>14</v>
      </c>
      <c r="D76" s="6">
        <v>181.0</v>
      </c>
      <c r="E76" s="6">
        <v>905000.0</v>
      </c>
      <c r="F76" s="6">
        <v>5000.0</v>
      </c>
      <c r="G76" s="6">
        <v>271500.0</v>
      </c>
    </row>
    <row r="77">
      <c r="A77" s="4" t="s">
        <v>89</v>
      </c>
      <c r="B77" s="5" t="s">
        <v>13</v>
      </c>
      <c r="C77" s="5" t="s">
        <v>9</v>
      </c>
      <c r="D77" s="6">
        <v>44.0</v>
      </c>
      <c r="E77" s="6">
        <v>132000.0</v>
      </c>
      <c r="F77" s="6">
        <v>3000.0</v>
      </c>
      <c r="G77" s="6">
        <v>39600.0</v>
      </c>
    </row>
    <row r="78">
      <c r="A78" s="4" t="s">
        <v>90</v>
      </c>
      <c r="B78" s="5" t="s">
        <v>19</v>
      </c>
      <c r="C78" s="5" t="s">
        <v>11</v>
      </c>
      <c r="D78" s="6">
        <v>34.0</v>
      </c>
      <c r="E78" s="6">
        <v>340000.0</v>
      </c>
      <c r="F78" s="6">
        <v>10000.0</v>
      </c>
      <c r="G78" s="6">
        <v>102000.0</v>
      </c>
    </row>
    <row r="79">
      <c r="A79" s="4" t="s">
        <v>91</v>
      </c>
      <c r="B79" s="5" t="s">
        <v>19</v>
      </c>
      <c r="C79" s="5" t="s">
        <v>14</v>
      </c>
      <c r="D79" s="6">
        <v>150.0</v>
      </c>
      <c r="E79" s="6">
        <v>900000.0</v>
      </c>
      <c r="F79" s="6">
        <v>6000.0</v>
      </c>
      <c r="G79" s="6">
        <v>270000.0</v>
      </c>
    </row>
    <row r="80">
      <c r="A80" s="4" t="s">
        <v>92</v>
      </c>
      <c r="B80" s="5" t="s">
        <v>13</v>
      </c>
      <c r="C80" s="5" t="s">
        <v>9</v>
      </c>
      <c r="D80" s="6">
        <v>109.0</v>
      </c>
      <c r="E80" s="6">
        <v>327000.0</v>
      </c>
      <c r="F80" s="6">
        <v>3000.0</v>
      </c>
      <c r="G80" s="6">
        <v>98100.0</v>
      </c>
    </row>
    <row r="81">
      <c r="A81" s="4" t="s">
        <v>93</v>
      </c>
      <c r="B81" s="5" t="s">
        <v>13</v>
      </c>
      <c r="C81" s="5" t="s">
        <v>11</v>
      </c>
      <c r="D81" s="6">
        <v>132.0</v>
      </c>
      <c r="E81" s="6">
        <v>1320000.0</v>
      </c>
      <c r="F81" s="6">
        <v>10000.0</v>
      </c>
      <c r="G81" s="6">
        <v>396000.0</v>
      </c>
    </row>
    <row r="82">
      <c r="A82" s="4" t="s">
        <v>94</v>
      </c>
      <c r="B82" s="5" t="s">
        <v>16</v>
      </c>
      <c r="C82" s="5" t="s">
        <v>9</v>
      </c>
      <c r="D82" s="6">
        <v>163.0</v>
      </c>
      <c r="E82" s="6">
        <v>489000.0</v>
      </c>
      <c r="F82" s="6">
        <v>3000.0</v>
      </c>
      <c r="G82" s="6">
        <v>146700.0</v>
      </c>
    </row>
    <row r="83">
      <c r="A83" s="4" t="s">
        <v>95</v>
      </c>
      <c r="B83" s="5" t="s">
        <v>19</v>
      </c>
      <c r="C83" s="5" t="s">
        <v>11</v>
      </c>
      <c r="D83" s="6">
        <v>80.0</v>
      </c>
      <c r="E83" s="6">
        <v>600000.0</v>
      </c>
      <c r="F83" s="6">
        <v>7500.0</v>
      </c>
      <c r="G83" s="6">
        <v>180000.0</v>
      </c>
    </row>
    <row r="84">
      <c r="A84" s="4" t="s">
        <v>96</v>
      </c>
      <c r="B84" s="5" t="s">
        <v>19</v>
      </c>
      <c r="C84" s="5" t="s">
        <v>14</v>
      </c>
      <c r="D84" s="6">
        <v>20.0</v>
      </c>
      <c r="E84" s="6">
        <v>100000.0</v>
      </c>
      <c r="F84" s="6">
        <v>5000.0</v>
      </c>
      <c r="G84" s="6">
        <v>30000.0</v>
      </c>
    </row>
    <row r="85">
      <c r="A85" s="4" t="s">
        <v>97</v>
      </c>
      <c r="B85" s="5" t="s">
        <v>8</v>
      </c>
      <c r="C85" s="5" t="s">
        <v>9</v>
      </c>
      <c r="D85" s="6">
        <v>153.0</v>
      </c>
      <c r="E85" s="6">
        <v>459000.0</v>
      </c>
      <c r="F85" s="6">
        <v>3000.0</v>
      </c>
      <c r="G85" s="6">
        <v>137700.0</v>
      </c>
    </row>
    <row r="86">
      <c r="A86" s="4" t="s">
        <v>98</v>
      </c>
      <c r="B86" s="5" t="s">
        <v>16</v>
      </c>
      <c r="C86" s="5" t="s">
        <v>11</v>
      </c>
      <c r="D86" s="6">
        <v>110.0</v>
      </c>
      <c r="E86" s="6">
        <v>1100000.0</v>
      </c>
      <c r="F86" s="6">
        <v>10000.0</v>
      </c>
      <c r="G86" s="6">
        <v>330000.0</v>
      </c>
    </row>
    <row r="87">
      <c r="A87" s="4" t="s">
        <v>99</v>
      </c>
      <c r="B87" s="5" t="s">
        <v>8</v>
      </c>
      <c r="C87" s="5" t="s">
        <v>14</v>
      </c>
      <c r="D87" s="6">
        <v>123.0</v>
      </c>
      <c r="E87" s="6">
        <v>738000.0</v>
      </c>
      <c r="F87" s="6">
        <v>6000.0</v>
      </c>
      <c r="G87" s="6">
        <v>221400.0</v>
      </c>
    </row>
    <row r="88">
      <c r="A88" s="4" t="s">
        <v>100</v>
      </c>
      <c r="B88" s="5" t="s">
        <v>16</v>
      </c>
      <c r="C88" s="5" t="s">
        <v>9</v>
      </c>
      <c r="D88" s="6">
        <v>130.0</v>
      </c>
      <c r="E88" s="6">
        <v>390000.0</v>
      </c>
      <c r="F88" s="6">
        <v>3000.0</v>
      </c>
      <c r="G88" s="6">
        <v>117000.0</v>
      </c>
    </row>
    <row r="89">
      <c r="A89" s="4" t="s">
        <v>101</v>
      </c>
      <c r="B89" s="5" t="s">
        <v>8</v>
      </c>
      <c r="C89" s="5" t="s">
        <v>11</v>
      </c>
      <c r="D89" s="6">
        <v>122.0</v>
      </c>
      <c r="E89" s="6">
        <v>1220000.0</v>
      </c>
      <c r="F89" s="6">
        <v>10000.0</v>
      </c>
      <c r="G89" s="6">
        <v>366000.0</v>
      </c>
    </row>
    <row r="90">
      <c r="A90" s="4" t="s">
        <v>102</v>
      </c>
      <c r="B90" s="5" t="s">
        <v>13</v>
      </c>
      <c r="C90" s="5" t="s">
        <v>14</v>
      </c>
      <c r="D90" s="6">
        <v>119.0</v>
      </c>
      <c r="E90" s="6">
        <v>714000.0</v>
      </c>
      <c r="F90" s="6">
        <v>6000.0</v>
      </c>
      <c r="G90" s="6">
        <v>214200.0</v>
      </c>
    </row>
    <row r="91">
      <c r="A91" s="4" t="s">
        <v>103</v>
      </c>
      <c r="B91" s="5" t="s">
        <v>19</v>
      </c>
      <c r="C91" s="5" t="s">
        <v>9</v>
      </c>
      <c r="D91" s="6">
        <v>117.0</v>
      </c>
      <c r="E91" s="6">
        <v>351000.0</v>
      </c>
      <c r="F91" s="6">
        <v>3000.0</v>
      </c>
      <c r="G91" s="6">
        <v>105300.0</v>
      </c>
    </row>
    <row r="92">
      <c r="A92" s="4" t="s">
        <v>104</v>
      </c>
      <c r="B92" s="5" t="s">
        <v>19</v>
      </c>
      <c r="C92" s="5" t="s">
        <v>11</v>
      </c>
      <c r="D92" s="6">
        <v>147.0</v>
      </c>
      <c r="E92" s="6">
        <v>1470000.0</v>
      </c>
      <c r="F92" s="6">
        <v>10000.0</v>
      </c>
      <c r="G92" s="6">
        <v>441000.0</v>
      </c>
    </row>
    <row r="93">
      <c r="A93" s="4" t="s">
        <v>105</v>
      </c>
      <c r="B93" s="5" t="s">
        <v>13</v>
      </c>
      <c r="C93" s="5" t="s">
        <v>14</v>
      </c>
      <c r="D93" s="6">
        <v>183.0</v>
      </c>
      <c r="E93" s="6">
        <v>1098000.0</v>
      </c>
      <c r="F93" s="6">
        <v>6000.0</v>
      </c>
      <c r="G93" s="6">
        <v>329400.0</v>
      </c>
    </row>
    <row r="94">
      <c r="A94" s="4" t="s">
        <v>106</v>
      </c>
      <c r="B94" s="5" t="s">
        <v>13</v>
      </c>
      <c r="C94" s="5" t="s">
        <v>9</v>
      </c>
      <c r="D94" s="6">
        <v>196.0</v>
      </c>
      <c r="E94" s="6">
        <v>588000.0</v>
      </c>
      <c r="F94" s="6">
        <v>3000.0</v>
      </c>
      <c r="G94" s="6">
        <v>176400.0</v>
      </c>
    </row>
    <row r="95">
      <c r="A95" s="4" t="s">
        <v>107</v>
      </c>
      <c r="B95" s="5" t="s">
        <v>8</v>
      </c>
      <c r="C95" s="5" t="s">
        <v>11</v>
      </c>
      <c r="D95" s="6">
        <v>156.0</v>
      </c>
      <c r="E95" s="6">
        <v>1170000.0</v>
      </c>
      <c r="F95" s="6">
        <v>7500.0</v>
      </c>
      <c r="G95" s="6">
        <v>351000.0</v>
      </c>
    </row>
    <row r="96">
      <c r="A96" s="4" t="s">
        <v>108</v>
      </c>
      <c r="B96" s="5" t="s">
        <v>19</v>
      </c>
      <c r="C96" s="5" t="s">
        <v>14</v>
      </c>
      <c r="D96" s="6">
        <v>69.0</v>
      </c>
      <c r="E96" s="6">
        <v>345000.0</v>
      </c>
      <c r="F96" s="6">
        <v>5000.0</v>
      </c>
      <c r="G96" s="6">
        <v>103500.0</v>
      </c>
    </row>
    <row r="97">
      <c r="A97" s="4" t="s">
        <v>109</v>
      </c>
      <c r="B97" s="5" t="s">
        <v>13</v>
      </c>
      <c r="C97" s="5" t="s">
        <v>9</v>
      </c>
      <c r="D97" s="6">
        <v>37.0</v>
      </c>
      <c r="E97" s="6">
        <v>111000.0</v>
      </c>
      <c r="F97" s="6">
        <v>3000.0</v>
      </c>
      <c r="G97" s="6">
        <v>33300.0</v>
      </c>
    </row>
    <row r="98">
      <c r="A98" s="4" t="s">
        <v>110</v>
      </c>
      <c r="B98" s="5" t="s">
        <v>16</v>
      </c>
      <c r="C98" s="5" t="s">
        <v>11</v>
      </c>
      <c r="D98" s="6">
        <v>29.0</v>
      </c>
      <c r="E98" s="6">
        <v>290000.0</v>
      </c>
      <c r="F98" s="6">
        <v>10000.0</v>
      </c>
      <c r="G98" s="6">
        <v>87000.0</v>
      </c>
    </row>
    <row r="99">
      <c r="A99" s="4" t="s">
        <v>111</v>
      </c>
      <c r="B99" s="5" t="s">
        <v>16</v>
      </c>
      <c r="C99" s="5" t="s">
        <v>14</v>
      </c>
      <c r="D99" s="6">
        <v>103.0</v>
      </c>
      <c r="E99" s="6">
        <v>618000.0</v>
      </c>
      <c r="F99" s="6">
        <v>6000.0</v>
      </c>
      <c r="G99" s="6">
        <v>185400.0</v>
      </c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112</v>
      </c>
      <c r="I1" s="8" t="s">
        <v>113</v>
      </c>
    </row>
    <row r="2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I2" s="9" t="s">
        <v>0</v>
      </c>
      <c r="J2" s="10" t="s">
        <v>1</v>
      </c>
      <c r="K2" s="10" t="s">
        <v>2</v>
      </c>
      <c r="L2" s="11" t="s">
        <v>3</v>
      </c>
      <c r="M2" s="11" t="s">
        <v>4</v>
      </c>
      <c r="N2" s="11" t="s">
        <v>5</v>
      </c>
      <c r="O2" s="11" t="s">
        <v>6</v>
      </c>
    </row>
    <row r="3">
      <c r="A3" s="12" t="str">
        <f>IFERROR(__xludf.DUMMYFUNCTION("SORT(FILTER('Sales Data'!A2:G99,'Sales Data'!G2:G99&gt;=500000),5,FALSE)"),"Devika Khanna")</f>
        <v>Devika Khanna</v>
      </c>
      <c r="B3" s="12" t="str">
        <f>IFERROR(__xludf.DUMMYFUNCTION("""COMPUTED_VALUE"""),"West")</f>
        <v>West</v>
      </c>
      <c r="C3" s="12" t="str">
        <f>IFERROR(__xludf.DUMMYFUNCTION("""COMPUTED_VALUE"""),"Printers")</f>
        <v>Printers</v>
      </c>
      <c r="D3" s="13">
        <f>IFERROR(__xludf.DUMMYFUNCTION("""COMPUTED_VALUE"""),196.0)</f>
        <v>196</v>
      </c>
      <c r="E3" s="13">
        <f>IFERROR(__xludf.DUMMYFUNCTION("""COMPUTED_VALUE"""),1960000.0)</f>
        <v>1960000</v>
      </c>
      <c r="F3" s="13">
        <f>IFERROR(__xludf.DUMMYFUNCTION("""COMPUTED_VALUE"""),10000.0)</f>
        <v>10000</v>
      </c>
      <c r="G3" s="13">
        <f>IFERROR(__xludf.DUMMYFUNCTION("""COMPUTED_VALUE"""),588000.0)</f>
        <v>588000</v>
      </c>
      <c r="I3" s="12" t="str">
        <f>IFERROR(__xludf.DUMMYFUNCTION("SORT(FILTER('Sales Data'!A2:G99,'Sales Data'!D2:D99&gt;140,'Sales Data'!B2:B99=""North""),3,TRUE)"),"Mohit Mehra")</f>
        <v>Mohit Mehra</v>
      </c>
      <c r="J3" s="12" t="str">
        <f>IFERROR(__xludf.DUMMYFUNCTION("""COMPUTED_VALUE"""),"North")</f>
        <v>North</v>
      </c>
      <c r="K3" s="12" t="str">
        <f>IFERROR(__xludf.DUMMYFUNCTION("""COMPUTED_VALUE"""),"Cameras")</f>
        <v>Cameras</v>
      </c>
      <c r="L3" s="13">
        <f>IFERROR(__xludf.DUMMYFUNCTION("""COMPUTED_VALUE"""),166.0)</f>
        <v>166</v>
      </c>
      <c r="M3" s="13">
        <f>IFERROR(__xludf.DUMMYFUNCTION("""COMPUTED_VALUE"""),498000.0)</f>
        <v>498000</v>
      </c>
      <c r="N3" s="13">
        <f>IFERROR(__xludf.DUMMYFUNCTION("""COMPUTED_VALUE"""),3000.0)</f>
        <v>3000</v>
      </c>
      <c r="O3" s="13">
        <f>IFERROR(__xludf.DUMMYFUNCTION("""COMPUTED_VALUE"""),149400.0)</f>
        <v>149400</v>
      </c>
    </row>
    <row r="4">
      <c r="A4" s="12" t="str">
        <f>IFERROR(__xludf.DUMMYFUNCTION("""COMPUTED_VALUE"""),"Muskan Chawla")</f>
        <v>Muskan Chawla</v>
      </c>
      <c r="B4" s="12" t="str">
        <f>IFERROR(__xludf.DUMMYFUNCTION("""COMPUTED_VALUE"""),"West")</f>
        <v>West</v>
      </c>
      <c r="C4" s="12" t="str">
        <f>IFERROR(__xludf.DUMMYFUNCTION("""COMPUTED_VALUE"""),"Printers")</f>
        <v>Printers</v>
      </c>
      <c r="D4" s="13">
        <f>IFERROR(__xludf.DUMMYFUNCTION("""COMPUTED_VALUE"""),193.0)</f>
        <v>193</v>
      </c>
      <c r="E4" s="13">
        <f>IFERROR(__xludf.DUMMYFUNCTION("""COMPUTED_VALUE"""),1930000.0)</f>
        <v>1930000</v>
      </c>
      <c r="F4" s="13">
        <f>IFERROR(__xludf.DUMMYFUNCTION("""COMPUTED_VALUE"""),10000.0)</f>
        <v>10000</v>
      </c>
      <c r="G4" s="13">
        <f>IFERROR(__xludf.DUMMYFUNCTION("""COMPUTED_VALUE"""),579000.0)</f>
        <v>579000</v>
      </c>
      <c r="I4" s="12" t="str">
        <f>IFERROR(__xludf.DUMMYFUNCTION("""COMPUTED_VALUE"""),"Anushka Nayar")</f>
        <v>Anushka Nayar</v>
      </c>
      <c r="J4" s="12" t="str">
        <f>IFERROR(__xludf.DUMMYFUNCTION("""COMPUTED_VALUE"""),"North")</f>
        <v>North</v>
      </c>
      <c r="K4" s="12" t="str">
        <f>IFERROR(__xludf.DUMMYFUNCTION("""COMPUTED_VALUE"""),"Cameras")</f>
        <v>Cameras</v>
      </c>
      <c r="L4" s="13">
        <f>IFERROR(__xludf.DUMMYFUNCTION("""COMPUTED_VALUE"""),182.0)</f>
        <v>182</v>
      </c>
      <c r="M4" s="13">
        <f>IFERROR(__xludf.DUMMYFUNCTION("""COMPUTED_VALUE"""),546000.0)</f>
        <v>546000</v>
      </c>
      <c r="N4" s="13">
        <f>IFERROR(__xludf.DUMMYFUNCTION("""COMPUTED_VALUE"""),3000.0)</f>
        <v>3000</v>
      </c>
      <c r="O4" s="13">
        <f>IFERROR(__xludf.DUMMYFUNCTION("""COMPUTED_VALUE"""),163800.0)</f>
        <v>163800</v>
      </c>
    </row>
    <row r="5">
      <c r="A5" s="12" t="str">
        <f>IFERROR(__xludf.DUMMYFUNCTION("""COMPUTED_VALUE"""),"Manish Thakur")</f>
        <v>Manish Thakur</v>
      </c>
      <c r="B5" s="12" t="str">
        <f>IFERROR(__xludf.DUMMYFUNCTION("""COMPUTED_VALUE"""),"West")</f>
        <v>West</v>
      </c>
      <c r="C5" s="12" t="str">
        <f>IFERROR(__xludf.DUMMYFUNCTION("""COMPUTED_VALUE"""),"Printers")</f>
        <v>Printers</v>
      </c>
      <c r="D5" s="13">
        <f>IFERROR(__xludf.DUMMYFUNCTION("""COMPUTED_VALUE"""),191.0)</f>
        <v>191</v>
      </c>
      <c r="E5" s="13">
        <f>IFERROR(__xludf.DUMMYFUNCTION("""COMPUTED_VALUE"""),1910000.0)</f>
        <v>1910000</v>
      </c>
      <c r="F5" s="13">
        <f>IFERROR(__xludf.DUMMYFUNCTION("""COMPUTED_VALUE"""),10000.0)</f>
        <v>10000</v>
      </c>
      <c r="G5" s="13">
        <f>IFERROR(__xludf.DUMMYFUNCTION("""COMPUTED_VALUE"""),573000.0)</f>
        <v>573000</v>
      </c>
      <c r="I5" s="12" t="str">
        <f>IFERROR(__xludf.DUMMYFUNCTION("""COMPUTED_VALUE"""),"Bhavya Reddy")</f>
        <v>Bhavya Reddy</v>
      </c>
      <c r="J5" s="12" t="str">
        <f>IFERROR(__xludf.DUMMYFUNCTION("""COMPUTED_VALUE"""),"North")</f>
        <v>North</v>
      </c>
      <c r="K5" s="12" t="str">
        <f>IFERROR(__xludf.DUMMYFUNCTION("""COMPUTED_VALUE"""),"Keyboards")</f>
        <v>Keyboards</v>
      </c>
      <c r="L5" s="13">
        <f>IFERROR(__xludf.DUMMYFUNCTION("""COMPUTED_VALUE"""),160.0)</f>
        <v>160</v>
      </c>
      <c r="M5" s="13">
        <f>IFERROR(__xludf.DUMMYFUNCTION("""COMPUTED_VALUE"""),960000.0)</f>
        <v>960000</v>
      </c>
      <c r="N5" s="13">
        <f>IFERROR(__xludf.DUMMYFUNCTION("""COMPUTED_VALUE"""),6000.0)</f>
        <v>6000</v>
      </c>
      <c r="O5" s="13">
        <f>IFERROR(__xludf.DUMMYFUNCTION("""COMPUTED_VALUE"""),288000.0)</f>
        <v>288000</v>
      </c>
    </row>
    <row r="6">
      <c r="A6" s="12" t="str">
        <f>IFERROR(__xludf.DUMMYFUNCTION("""COMPUTED_VALUE"""),"Aniket Mehta")</f>
        <v>Aniket Mehta</v>
      </c>
      <c r="B6" s="12" t="str">
        <f>IFERROR(__xludf.DUMMYFUNCTION("""COMPUTED_VALUE"""),"South")</f>
        <v>South</v>
      </c>
      <c r="C6" s="12" t="str">
        <f>IFERROR(__xludf.DUMMYFUNCTION("""COMPUTED_VALUE"""),"Printers")</f>
        <v>Printers</v>
      </c>
      <c r="D6" s="13">
        <f>IFERROR(__xludf.DUMMYFUNCTION("""COMPUTED_VALUE"""),180.0)</f>
        <v>180</v>
      </c>
      <c r="E6" s="13">
        <f>IFERROR(__xludf.DUMMYFUNCTION("""COMPUTED_VALUE"""),1800000.0)</f>
        <v>1800000</v>
      </c>
      <c r="F6" s="13">
        <f>IFERROR(__xludf.DUMMYFUNCTION("""COMPUTED_VALUE"""),10000.0)</f>
        <v>10000</v>
      </c>
      <c r="G6" s="13">
        <f>IFERROR(__xludf.DUMMYFUNCTION("""COMPUTED_VALUE"""),540000.0)</f>
        <v>540000</v>
      </c>
      <c r="I6" s="12" t="str">
        <f>IFERROR(__xludf.DUMMYFUNCTION("""COMPUTED_VALUE"""),"Geetika Sharma")</f>
        <v>Geetika Sharma</v>
      </c>
      <c r="J6" s="12" t="str">
        <f>IFERROR(__xludf.DUMMYFUNCTION("""COMPUTED_VALUE"""),"North")</f>
        <v>North</v>
      </c>
      <c r="K6" s="12" t="str">
        <f>IFERROR(__xludf.DUMMYFUNCTION("""COMPUTED_VALUE"""),"Keyboards")</f>
        <v>Keyboards</v>
      </c>
      <c r="L6" s="13">
        <f>IFERROR(__xludf.DUMMYFUNCTION("""COMPUTED_VALUE"""),144.0)</f>
        <v>144</v>
      </c>
      <c r="M6" s="13">
        <f>IFERROR(__xludf.DUMMYFUNCTION("""COMPUTED_VALUE"""),720000.0)</f>
        <v>720000</v>
      </c>
      <c r="N6" s="13">
        <f>IFERROR(__xludf.DUMMYFUNCTION("""COMPUTED_VALUE"""),5000.0)</f>
        <v>5000</v>
      </c>
      <c r="O6" s="13">
        <f>IFERROR(__xludf.DUMMYFUNCTION("""COMPUTED_VALUE"""),216000.0)</f>
        <v>216000</v>
      </c>
    </row>
    <row r="7">
      <c r="I7" s="12" t="str">
        <f>IFERROR(__xludf.DUMMYFUNCTION("""COMPUTED_VALUE"""),"Prisha Singh")</f>
        <v>Prisha Singh</v>
      </c>
      <c r="J7" s="12" t="str">
        <f>IFERROR(__xludf.DUMMYFUNCTION("""COMPUTED_VALUE"""),"North")</f>
        <v>North</v>
      </c>
      <c r="K7" s="12" t="str">
        <f>IFERROR(__xludf.DUMMYFUNCTION("""COMPUTED_VALUE"""),"Keyboards")</f>
        <v>Keyboards</v>
      </c>
      <c r="L7" s="13">
        <f>IFERROR(__xludf.DUMMYFUNCTION("""COMPUTED_VALUE"""),190.0)</f>
        <v>190</v>
      </c>
      <c r="M7" s="13">
        <f>IFERROR(__xludf.DUMMYFUNCTION("""COMPUTED_VALUE"""),950000.0)</f>
        <v>950000</v>
      </c>
      <c r="N7" s="13">
        <f>IFERROR(__xludf.DUMMYFUNCTION("""COMPUTED_VALUE"""),5000.0)</f>
        <v>5000</v>
      </c>
      <c r="O7" s="13">
        <f>IFERROR(__xludf.DUMMYFUNCTION("""COMPUTED_VALUE"""),285000.0)</f>
        <v>285000</v>
      </c>
    </row>
    <row r="8">
      <c r="A8" s="8" t="s">
        <v>114</v>
      </c>
      <c r="I8" s="12" t="str">
        <f>IFERROR(__xludf.DUMMYFUNCTION("""COMPUTED_VALUE"""),"Divya Sharma")</f>
        <v>Divya Sharma</v>
      </c>
      <c r="J8" s="12" t="str">
        <f>IFERROR(__xludf.DUMMYFUNCTION("""COMPUTED_VALUE"""),"North")</f>
        <v>North</v>
      </c>
      <c r="K8" s="12" t="str">
        <f>IFERROR(__xludf.DUMMYFUNCTION("""COMPUTED_VALUE"""),"Keyboards")</f>
        <v>Keyboards</v>
      </c>
      <c r="L8" s="13">
        <f>IFERROR(__xludf.DUMMYFUNCTION("""COMPUTED_VALUE"""),181.0)</f>
        <v>181</v>
      </c>
      <c r="M8" s="13">
        <f>IFERROR(__xludf.DUMMYFUNCTION("""COMPUTED_VALUE"""),905000.0)</f>
        <v>905000</v>
      </c>
      <c r="N8" s="13">
        <f>IFERROR(__xludf.DUMMYFUNCTION("""COMPUTED_VALUE"""),5000.0)</f>
        <v>5000</v>
      </c>
      <c r="O8" s="13">
        <f>IFERROR(__xludf.DUMMYFUNCTION("""COMPUTED_VALUE"""),271500.0)</f>
        <v>271500</v>
      </c>
    </row>
    <row r="9">
      <c r="A9" s="9" t="s">
        <v>0</v>
      </c>
      <c r="B9" s="10" t="s">
        <v>1</v>
      </c>
      <c r="C9" s="10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I9" s="12" t="str">
        <f>IFERROR(__xludf.DUMMYFUNCTION("""COMPUTED_VALUE"""),"Jai Patel")</f>
        <v>Jai Patel</v>
      </c>
      <c r="J9" s="12" t="str">
        <f>IFERROR(__xludf.DUMMYFUNCTION("""COMPUTED_VALUE"""),"North")</f>
        <v>North</v>
      </c>
      <c r="K9" s="12" t="str">
        <f>IFERROR(__xludf.DUMMYFUNCTION("""COMPUTED_VALUE"""),"Keyboards")</f>
        <v>Keyboards</v>
      </c>
      <c r="L9" s="13">
        <f>IFERROR(__xludf.DUMMYFUNCTION("""COMPUTED_VALUE"""),150.0)</f>
        <v>150</v>
      </c>
      <c r="M9" s="13">
        <f>IFERROR(__xludf.DUMMYFUNCTION("""COMPUTED_VALUE"""),900000.0)</f>
        <v>900000</v>
      </c>
      <c r="N9" s="13">
        <f>IFERROR(__xludf.DUMMYFUNCTION("""COMPUTED_VALUE"""),6000.0)</f>
        <v>6000</v>
      </c>
      <c r="O9" s="13">
        <f>IFERROR(__xludf.DUMMYFUNCTION("""COMPUTED_VALUE"""),270000.0)</f>
        <v>270000</v>
      </c>
    </row>
    <row r="10">
      <c r="A10" s="12" t="str">
        <f>IFERROR(__xludf.DUMMYFUNCTION("SORT(FILTER('Sales Data'!A2:G99,'Sales Data'!C2:C99=""Cameras"",'Sales Data'!E2:E99&gt;=500000),1,TRUE)"),"Alia Mehrotra")</f>
        <v>Alia Mehrotra</v>
      </c>
      <c r="B10" s="12" t="str">
        <f>IFERROR(__xludf.DUMMYFUNCTION("""COMPUTED_VALUE"""),"East")</f>
        <v>East</v>
      </c>
      <c r="C10" s="12" t="str">
        <f>IFERROR(__xludf.DUMMYFUNCTION("""COMPUTED_VALUE"""),"Cameras")</f>
        <v>Cameras</v>
      </c>
      <c r="D10" s="13">
        <f>IFERROR(__xludf.DUMMYFUNCTION("""COMPUTED_VALUE"""),181.0)</f>
        <v>181</v>
      </c>
      <c r="E10" s="13">
        <f>IFERROR(__xludf.DUMMYFUNCTION("""COMPUTED_VALUE"""),543000.0)</f>
        <v>543000</v>
      </c>
      <c r="F10" s="13">
        <f>IFERROR(__xludf.DUMMYFUNCTION("""COMPUTED_VALUE"""),3000.0)</f>
        <v>3000</v>
      </c>
      <c r="G10" s="13">
        <f>IFERROR(__xludf.DUMMYFUNCTION("""COMPUTED_VALUE"""),162900.0)</f>
        <v>162900</v>
      </c>
      <c r="I10" s="12" t="str">
        <f>IFERROR(__xludf.DUMMYFUNCTION("""COMPUTED_VALUE"""),"Ishaan Choudhury")</f>
        <v>Ishaan Choudhury</v>
      </c>
      <c r="J10" s="12" t="str">
        <f>IFERROR(__xludf.DUMMYFUNCTION("""COMPUTED_VALUE"""),"North")</f>
        <v>North</v>
      </c>
      <c r="K10" s="12" t="str">
        <f>IFERROR(__xludf.DUMMYFUNCTION("""COMPUTED_VALUE"""),"Printers")</f>
        <v>Printers</v>
      </c>
      <c r="L10" s="13">
        <f>IFERROR(__xludf.DUMMYFUNCTION("""COMPUTED_VALUE"""),164.0)</f>
        <v>164</v>
      </c>
      <c r="M10" s="13">
        <f>IFERROR(__xludf.DUMMYFUNCTION("""COMPUTED_VALUE"""),1640000.0)</f>
        <v>1640000</v>
      </c>
      <c r="N10" s="13">
        <f>IFERROR(__xludf.DUMMYFUNCTION("""COMPUTED_VALUE"""),10000.0)</f>
        <v>10000</v>
      </c>
      <c r="O10" s="13">
        <f>IFERROR(__xludf.DUMMYFUNCTION("""COMPUTED_VALUE"""),492000.0)</f>
        <v>492000</v>
      </c>
    </row>
    <row r="11">
      <c r="A11" s="12" t="str">
        <f>IFERROR(__xludf.DUMMYFUNCTION("""COMPUTED_VALUE"""),"Anushka Nayar")</f>
        <v>Anushka Nayar</v>
      </c>
      <c r="B11" s="12" t="str">
        <f>IFERROR(__xludf.DUMMYFUNCTION("""COMPUTED_VALUE"""),"North")</f>
        <v>North</v>
      </c>
      <c r="C11" s="12" t="str">
        <f>IFERROR(__xludf.DUMMYFUNCTION("""COMPUTED_VALUE"""),"Cameras")</f>
        <v>Cameras</v>
      </c>
      <c r="D11" s="13">
        <f>IFERROR(__xludf.DUMMYFUNCTION("""COMPUTED_VALUE"""),182.0)</f>
        <v>182</v>
      </c>
      <c r="E11" s="13">
        <f>IFERROR(__xludf.DUMMYFUNCTION("""COMPUTED_VALUE"""),546000.0)</f>
        <v>546000</v>
      </c>
      <c r="F11" s="13">
        <f>IFERROR(__xludf.DUMMYFUNCTION("""COMPUTED_VALUE"""),3000.0)</f>
        <v>3000</v>
      </c>
      <c r="G11" s="13">
        <f>IFERROR(__xludf.DUMMYFUNCTION("""COMPUTED_VALUE"""),163800.0)</f>
        <v>163800</v>
      </c>
      <c r="I11" s="12" t="str">
        <f>IFERROR(__xludf.DUMMYFUNCTION("""COMPUTED_VALUE"""),"Sachin Malhotra")</f>
        <v>Sachin Malhotra</v>
      </c>
      <c r="J11" s="12" t="str">
        <f>IFERROR(__xludf.DUMMYFUNCTION("""COMPUTED_VALUE"""),"North")</f>
        <v>North</v>
      </c>
      <c r="K11" s="12" t="str">
        <f>IFERROR(__xludf.DUMMYFUNCTION("""COMPUTED_VALUE"""),"Printers")</f>
        <v>Printers</v>
      </c>
      <c r="L11" s="13">
        <f>IFERROR(__xludf.DUMMYFUNCTION("""COMPUTED_VALUE"""),147.0)</f>
        <v>147</v>
      </c>
      <c r="M11" s="13">
        <f>IFERROR(__xludf.DUMMYFUNCTION("""COMPUTED_VALUE"""),1470000.0)</f>
        <v>1470000</v>
      </c>
      <c r="N11" s="13">
        <f>IFERROR(__xludf.DUMMYFUNCTION("""COMPUTED_VALUE"""),10000.0)</f>
        <v>10000</v>
      </c>
      <c r="O11" s="13">
        <f>IFERROR(__xludf.DUMMYFUNCTION("""COMPUTED_VALUE"""),441000.0)</f>
        <v>441000</v>
      </c>
    </row>
    <row r="12">
      <c r="A12" s="12" t="str">
        <f>IFERROR(__xludf.DUMMYFUNCTION("""COMPUTED_VALUE"""),"Chetan Rana")</f>
        <v>Chetan Rana</v>
      </c>
      <c r="B12" s="12" t="str">
        <f>IFERROR(__xludf.DUMMYFUNCTION("""COMPUTED_VALUE"""),"West")</f>
        <v>West</v>
      </c>
      <c r="C12" s="12" t="str">
        <f>IFERROR(__xludf.DUMMYFUNCTION("""COMPUTED_VALUE"""),"Cameras")</f>
        <v>Cameras</v>
      </c>
      <c r="D12" s="13">
        <f>IFERROR(__xludf.DUMMYFUNCTION("""COMPUTED_VALUE"""),182.0)</f>
        <v>182</v>
      </c>
      <c r="E12" s="13">
        <f>IFERROR(__xludf.DUMMYFUNCTION("""COMPUTED_VALUE"""),546000.0)</f>
        <v>546000</v>
      </c>
      <c r="F12" s="13">
        <f>IFERROR(__xludf.DUMMYFUNCTION("""COMPUTED_VALUE"""),3000.0)</f>
        <v>3000</v>
      </c>
      <c r="G12" s="13">
        <f>IFERROR(__xludf.DUMMYFUNCTION("""COMPUTED_VALUE"""),163800.0)</f>
        <v>163800</v>
      </c>
    </row>
    <row r="13">
      <c r="A13" s="12" t="str">
        <f>IFERROR(__xludf.DUMMYFUNCTION("""COMPUTED_VALUE"""),"Navin Rawat")</f>
        <v>Navin Rawat</v>
      </c>
      <c r="B13" s="12" t="str">
        <f>IFERROR(__xludf.DUMMYFUNCTION("""COMPUTED_VALUE"""),"West")</f>
        <v>West</v>
      </c>
      <c r="C13" s="12" t="str">
        <f>IFERROR(__xludf.DUMMYFUNCTION("""COMPUTED_VALUE"""),"Cameras")</f>
        <v>Cameras</v>
      </c>
      <c r="D13" s="13">
        <f>IFERROR(__xludf.DUMMYFUNCTION("""COMPUTED_VALUE"""),175.0)</f>
        <v>175</v>
      </c>
      <c r="E13" s="13">
        <f>IFERROR(__xludf.DUMMYFUNCTION("""COMPUTED_VALUE"""),647500.0)</f>
        <v>647500</v>
      </c>
      <c r="F13" s="13">
        <f>IFERROR(__xludf.DUMMYFUNCTION("""COMPUTED_VALUE"""),3700.0)</f>
        <v>3700</v>
      </c>
      <c r="G13" s="13">
        <f>IFERROR(__xludf.DUMMYFUNCTION("""COMPUTED_VALUE"""),194250.0)</f>
        <v>194250</v>
      </c>
      <c r="I13" s="8" t="s">
        <v>115</v>
      </c>
    </row>
    <row r="14">
      <c r="A14" s="12" t="str">
        <f>IFERROR(__xludf.DUMMYFUNCTION("""COMPUTED_VALUE"""),"Shivam Singh")</f>
        <v>Shivam Singh</v>
      </c>
      <c r="B14" s="12" t="str">
        <f>IFERROR(__xludf.DUMMYFUNCTION("""COMPUTED_VALUE"""),"West")</f>
        <v>West</v>
      </c>
      <c r="C14" s="12" t="str">
        <f>IFERROR(__xludf.DUMMYFUNCTION("""COMPUTED_VALUE"""),"Cameras")</f>
        <v>Cameras</v>
      </c>
      <c r="D14" s="13">
        <f>IFERROR(__xludf.DUMMYFUNCTION("""COMPUTED_VALUE"""),196.0)</f>
        <v>196</v>
      </c>
      <c r="E14" s="13">
        <f>IFERROR(__xludf.DUMMYFUNCTION("""COMPUTED_VALUE"""),588000.0)</f>
        <v>588000</v>
      </c>
      <c r="F14" s="13">
        <f>IFERROR(__xludf.DUMMYFUNCTION("""COMPUTED_VALUE"""),3000.0)</f>
        <v>3000</v>
      </c>
      <c r="G14" s="13">
        <f>IFERROR(__xludf.DUMMYFUNCTION("""COMPUTED_VALUE"""),176400.0)</f>
        <v>176400</v>
      </c>
      <c r="I14" s="9" t="s">
        <v>0</v>
      </c>
      <c r="J14" s="10" t="s">
        <v>1</v>
      </c>
      <c r="K14" s="10" t="s">
        <v>2</v>
      </c>
      <c r="L14" s="11" t="s">
        <v>3</v>
      </c>
      <c r="M14" s="11" t="s">
        <v>4</v>
      </c>
      <c r="N14" s="11" t="s">
        <v>5</v>
      </c>
      <c r="O14" s="11" t="s">
        <v>6</v>
      </c>
    </row>
    <row r="15">
      <c r="I15" s="12" t="str">
        <f>IFERROR(__xludf.DUMMYFUNCTION("SORT(FILTER('Sales Data'!A2:G99,'Sales Data'!G2:G99&gt;=350000,('Sales Data'!B2:B99=""North"")+('Sales Data'!B2:B99=""South"")),1,TRUE)"),"Aditi Kapoor")</f>
        <v>Aditi Kapoor</v>
      </c>
      <c r="J15" s="12" t="str">
        <f>IFERROR(__xludf.DUMMYFUNCTION("""COMPUTED_VALUE"""),"South")</f>
        <v>South</v>
      </c>
      <c r="K15" s="12" t="str">
        <f>IFERROR(__xludf.DUMMYFUNCTION("""COMPUTED_VALUE"""),"Printers")</f>
        <v>Printers</v>
      </c>
      <c r="L15" s="13">
        <f>IFERROR(__xludf.DUMMYFUNCTION("""COMPUTED_VALUE"""),185.0)</f>
        <v>185</v>
      </c>
      <c r="M15" s="13">
        <f>IFERROR(__xludf.DUMMYFUNCTION("""COMPUTED_VALUE"""),1387500.0)</f>
        <v>1387500</v>
      </c>
      <c r="N15" s="13">
        <f>IFERROR(__xludf.DUMMYFUNCTION("""COMPUTED_VALUE"""),7500.0)</f>
        <v>7500</v>
      </c>
      <c r="O15" s="13">
        <f>IFERROR(__xludf.DUMMYFUNCTION("""COMPUTED_VALUE"""),416250.0)</f>
        <v>416250</v>
      </c>
    </row>
    <row r="16">
      <c r="A16" s="8" t="s">
        <v>116</v>
      </c>
      <c r="I16" s="12" t="str">
        <f>IFERROR(__xludf.DUMMYFUNCTION("""COMPUTED_VALUE"""),"Aniket Mehta")</f>
        <v>Aniket Mehta</v>
      </c>
      <c r="J16" s="12" t="str">
        <f>IFERROR(__xludf.DUMMYFUNCTION("""COMPUTED_VALUE"""),"South")</f>
        <v>South</v>
      </c>
      <c r="K16" s="12" t="str">
        <f>IFERROR(__xludf.DUMMYFUNCTION("""COMPUTED_VALUE"""),"Printers")</f>
        <v>Printers</v>
      </c>
      <c r="L16" s="13">
        <f>IFERROR(__xludf.DUMMYFUNCTION("""COMPUTED_VALUE"""),180.0)</f>
        <v>180</v>
      </c>
      <c r="M16" s="13">
        <f>IFERROR(__xludf.DUMMYFUNCTION("""COMPUTED_VALUE"""),1800000.0)</f>
        <v>1800000</v>
      </c>
      <c r="N16" s="13">
        <f>IFERROR(__xludf.DUMMYFUNCTION("""COMPUTED_VALUE"""),10000.0)</f>
        <v>10000</v>
      </c>
      <c r="O16" s="13">
        <f>IFERROR(__xludf.DUMMYFUNCTION("""COMPUTED_VALUE"""),540000.0)</f>
        <v>540000</v>
      </c>
    </row>
    <row r="17">
      <c r="A17" s="9" t="s">
        <v>0</v>
      </c>
      <c r="B17" s="10" t="s">
        <v>1</v>
      </c>
      <c r="C17" s="10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I17" s="12" t="str">
        <f>IFERROR(__xludf.DUMMYFUNCTION("""COMPUTED_VALUE"""),"Arnav Kapoor")</f>
        <v>Arnav Kapoor</v>
      </c>
      <c r="J17" s="12" t="str">
        <f>IFERROR(__xludf.DUMMYFUNCTION("""COMPUTED_VALUE"""),"North")</f>
        <v>North</v>
      </c>
      <c r="K17" s="12" t="str">
        <f>IFERROR(__xludf.DUMMYFUNCTION("""COMPUTED_VALUE"""),"Printers")</f>
        <v>Printers</v>
      </c>
      <c r="L17" s="13">
        <f>IFERROR(__xludf.DUMMYFUNCTION("""COMPUTED_VALUE"""),136.0)</f>
        <v>136</v>
      </c>
      <c r="M17" s="13">
        <f>IFERROR(__xludf.DUMMYFUNCTION("""COMPUTED_VALUE"""),1360000.0)</f>
        <v>1360000</v>
      </c>
      <c r="N17" s="13">
        <f>IFERROR(__xludf.DUMMYFUNCTION("""COMPUTED_VALUE"""),10000.0)</f>
        <v>10000</v>
      </c>
      <c r="O17" s="13">
        <f>IFERROR(__xludf.DUMMYFUNCTION("""COMPUTED_VALUE"""),408000.0)</f>
        <v>408000</v>
      </c>
    </row>
    <row r="18">
      <c r="A18" s="12" t="str">
        <f>IFERROR(__xludf.DUMMYFUNCTION("SORT(FILTER('Sales Data'!A2:G99,'Sales Data'!B2:B99=""South"",'Sales Data'!E2:E99&lt;=300000),7,FALSE)"),"Sameer Shah")</f>
        <v>Sameer Shah</v>
      </c>
      <c r="B18" s="12" t="str">
        <f>IFERROR(__xludf.DUMMYFUNCTION("""COMPUTED_VALUE"""),"South")</f>
        <v>South</v>
      </c>
      <c r="C18" s="12" t="str">
        <f>IFERROR(__xludf.DUMMYFUNCTION("""COMPUTED_VALUE"""),"Printers")</f>
        <v>Printers</v>
      </c>
      <c r="D18" s="13">
        <f>IFERROR(__xludf.DUMMYFUNCTION("""COMPUTED_VALUE"""),37.0)</f>
        <v>37</v>
      </c>
      <c r="E18" s="13">
        <f>IFERROR(__xludf.DUMMYFUNCTION("""COMPUTED_VALUE"""),277500.0)</f>
        <v>277500</v>
      </c>
      <c r="F18" s="13">
        <f>IFERROR(__xludf.DUMMYFUNCTION("""COMPUTED_VALUE"""),7500.0)</f>
        <v>7500</v>
      </c>
      <c r="G18" s="13">
        <f>IFERROR(__xludf.DUMMYFUNCTION("""COMPUTED_VALUE"""),83250.0)</f>
        <v>83250</v>
      </c>
      <c r="I18" s="12" t="str">
        <f>IFERROR(__xludf.DUMMYFUNCTION("""COMPUTED_VALUE"""),"Ishaan Choudhury")</f>
        <v>Ishaan Choudhury</v>
      </c>
      <c r="J18" s="12" t="str">
        <f>IFERROR(__xludf.DUMMYFUNCTION("""COMPUTED_VALUE"""),"North")</f>
        <v>North</v>
      </c>
      <c r="K18" s="12" t="str">
        <f>IFERROR(__xludf.DUMMYFUNCTION("""COMPUTED_VALUE"""),"Printers")</f>
        <v>Printers</v>
      </c>
      <c r="L18" s="13">
        <f>IFERROR(__xludf.DUMMYFUNCTION("""COMPUTED_VALUE"""),164.0)</f>
        <v>164</v>
      </c>
      <c r="M18" s="13">
        <f>IFERROR(__xludf.DUMMYFUNCTION("""COMPUTED_VALUE"""),1640000.0)</f>
        <v>1640000</v>
      </c>
      <c r="N18" s="13">
        <f>IFERROR(__xludf.DUMMYFUNCTION("""COMPUTED_VALUE"""),10000.0)</f>
        <v>10000</v>
      </c>
      <c r="O18" s="13">
        <f>IFERROR(__xludf.DUMMYFUNCTION("""COMPUTED_VALUE"""),492000.0)</f>
        <v>492000</v>
      </c>
    </row>
    <row r="19">
      <c r="A19" s="12" t="str">
        <f>IFERROR(__xludf.DUMMYFUNCTION("""COMPUTED_VALUE"""),"Janvi Kapoor")</f>
        <v>Janvi Kapoor</v>
      </c>
      <c r="B19" s="12" t="str">
        <f>IFERROR(__xludf.DUMMYFUNCTION("""COMPUTED_VALUE"""),"South")</f>
        <v>South</v>
      </c>
      <c r="C19" s="12" t="str">
        <f>IFERROR(__xludf.DUMMYFUNCTION("""COMPUTED_VALUE"""),"Keyboards")</f>
        <v>Keyboards</v>
      </c>
      <c r="D19" s="13">
        <f>IFERROR(__xludf.DUMMYFUNCTION("""COMPUTED_VALUE"""),36.0)</f>
        <v>36</v>
      </c>
      <c r="E19" s="13">
        <f>IFERROR(__xludf.DUMMYFUNCTION("""COMPUTED_VALUE"""),216000.0)</f>
        <v>216000</v>
      </c>
      <c r="F19" s="13">
        <f>IFERROR(__xludf.DUMMYFUNCTION("""COMPUTED_VALUE"""),6000.0)</f>
        <v>6000</v>
      </c>
      <c r="G19" s="13">
        <f>IFERROR(__xludf.DUMMYFUNCTION("""COMPUTED_VALUE"""),64800.0)</f>
        <v>64800</v>
      </c>
      <c r="I19" s="12" t="str">
        <f>IFERROR(__xludf.DUMMYFUNCTION("""COMPUTED_VALUE"""),"Rashmi Rastogi")</f>
        <v>Rashmi Rastogi</v>
      </c>
      <c r="J19" s="12" t="str">
        <f>IFERROR(__xludf.DUMMYFUNCTION("""COMPUTED_VALUE"""),"South")</f>
        <v>South</v>
      </c>
      <c r="K19" s="12" t="str">
        <f>IFERROR(__xludf.DUMMYFUNCTION("""COMPUTED_VALUE"""),"Printers")</f>
        <v>Printers</v>
      </c>
      <c r="L19" s="13">
        <f>IFERROR(__xludf.DUMMYFUNCTION("""COMPUTED_VALUE"""),122.0)</f>
        <v>122</v>
      </c>
      <c r="M19" s="13">
        <f>IFERROR(__xludf.DUMMYFUNCTION("""COMPUTED_VALUE"""),1220000.0)</f>
        <v>1220000</v>
      </c>
      <c r="N19" s="13">
        <f>IFERROR(__xludf.DUMMYFUNCTION("""COMPUTED_VALUE"""),10000.0)</f>
        <v>10000</v>
      </c>
      <c r="O19" s="13">
        <f>IFERROR(__xludf.DUMMYFUNCTION("""COMPUTED_VALUE"""),366000.0)</f>
        <v>366000</v>
      </c>
    </row>
    <row r="20">
      <c r="A20" s="12" t="str">
        <f>IFERROR(__xludf.DUMMYFUNCTION("""COMPUTED_VALUE"""),"Amita Yadav")</f>
        <v>Amita Yadav</v>
      </c>
      <c r="B20" s="12" t="str">
        <f>IFERROR(__xludf.DUMMYFUNCTION("""COMPUTED_VALUE"""),"South")</f>
        <v>South</v>
      </c>
      <c r="C20" s="12" t="str">
        <f>IFERROR(__xludf.DUMMYFUNCTION("""COMPUTED_VALUE"""),"Printers")</f>
        <v>Printers</v>
      </c>
      <c r="D20" s="13">
        <f>IFERROR(__xludf.DUMMYFUNCTION("""COMPUTED_VALUE"""),11.0)</f>
        <v>11</v>
      </c>
      <c r="E20" s="13">
        <f>IFERROR(__xludf.DUMMYFUNCTION("""COMPUTED_VALUE"""),110000.0)</f>
        <v>110000</v>
      </c>
      <c r="F20" s="13">
        <f>IFERROR(__xludf.DUMMYFUNCTION("""COMPUTED_VALUE"""),10000.0)</f>
        <v>10000</v>
      </c>
      <c r="G20" s="13">
        <f>IFERROR(__xludf.DUMMYFUNCTION("""COMPUTED_VALUE"""),33000.0)</f>
        <v>33000</v>
      </c>
      <c r="I20" s="12" t="str">
        <f>IFERROR(__xludf.DUMMYFUNCTION("""COMPUTED_VALUE"""),"Sachin Malhotra")</f>
        <v>Sachin Malhotra</v>
      </c>
      <c r="J20" s="12" t="str">
        <f>IFERROR(__xludf.DUMMYFUNCTION("""COMPUTED_VALUE"""),"North")</f>
        <v>North</v>
      </c>
      <c r="K20" s="12" t="str">
        <f>IFERROR(__xludf.DUMMYFUNCTION("""COMPUTED_VALUE"""),"Printers")</f>
        <v>Printers</v>
      </c>
      <c r="L20" s="13">
        <f>IFERROR(__xludf.DUMMYFUNCTION("""COMPUTED_VALUE"""),147.0)</f>
        <v>147</v>
      </c>
      <c r="M20" s="13">
        <f>IFERROR(__xludf.DUMMYFUNCTION("""COMPUTED_VALUE"""),1470000.0)</f>
        <v>1470000</v>
      </c>
      <c r="N20" s="13">
        <f>IFERROR(__xludf.DUMMYFUNCTION("""COMPUTED_VALUE"""),10000.0)</f>
        <v>10000</v>
      </c>
      <c r="O20" s="13">
        <f>IFERROR(__xludf.DUMMYFUNCTION("""COMPUTED_VALUE"""),441000.0)</f>
        <v>441000</v>
      </c>
    </row>
    <row r="21">
      <c r="A21" s="12" t="str">
        <f>IFERROR(__xludf.DUMMYFUNCTION("""COMPUTED_VALUE"""),"Harshita Jain")</f>
        <v>Harshita Jain</v>
      </c>
      <c r="B21" s="12" t="str">
        <f>IFERROR(__xludf.DUMMYFUNCTION("""COMPUTED_VALUE"""),"South")</f>
        <v>South</v>
      </c>
      <c r="C21" s="12" t="str">
        <f>IFERROR(__xludf.DUMMYFUNCTION("""COMPUTED_VALUE"""),"Cameras")</f>
        <v>Cameras</v>
      </c>
      <c r="D21" s="13">
        <f>IFERROR(__xludf.DUMMYFUNCTION("""COMPUTED_VALUE"""),13.0)</f>
        <v>13</v>
      </c>
      <c r="E21" s="13">
        <f>IFERROR(__xludf.DUMMYFUNCTION("""COMPUTED_VALUE"""),39000.0)</f>
        <v>39000</v>
      </c>
      <c r="F21" s="13">
        <f>IFERROR(__xludf.DUMMYFUNCTION("""COMPUTED_VALUE"""),3000.0)</f>
        <v>3000</v>
      </c>
      <c r="G21" s="13">
        <f>IFERROR(__xludf.DUMMYFUNCTION("""COMPUTED_VALUE"""),11700.0)</f>
        <v>11700</v>
      </c>
      <c r="I21" s="12" t="str">
        <f>IFERROR(__xludf.DUMMYFUNCTION("""COMPUTED_VALUE"""),"Shreya Bajaj")</f>
        <v>Shreya Bajaj</v>
      </c>
      <c r="J21" s="12" t="str">
        <f>IFERROR(__xludf.DUMMYFUNCTION("""COMPUTED_VALUE"""),"South")</f>
        <v>South</v>
      </c>
      <c r="K21" s="12" t="str">
        <f>IFERROR(__xludf.DUMMYFUNCTION("""COMPUTED_VALUE"""),"Printers")</f>
        <v>Printers</v>
      </c>
      <c r="L21" s="13">
        <f>IFERROR(__xludf.DUMMYFUNCTION("""COMPUTED_VALUE"""),118.0)</f>
        <v>118</v>
      </c>
      <c r="M21" s="13">
        <f>IFERROR(__xludf.DUMMYFUNCTION("""COMPUTED_VALUE"""),1180000.0)</f>
        <v>1180000</v>
      </c>
      <c r="N21" s="13">
        <f>IFERROR(__xludf.DUMMYFUNCTION("""COMPUTED_VALUE"""),10000.0)</f>
        <v>10000</v>
      </c>
      <c r="O21" s="13">
        <f>IFERROR(__xludf.DUMMYFUNCTION("""COMPUTED_VALUE"""),354000.0)</f>
        <v>354000</v>
      </c>
    </row>
    <row r="22">
      <c r="I22" s="12" t="str">
        <f>IFERROR(__xludf.DUMMYFUNCTION("""COMPUTED_VALUE"""),"Shruti Sharma")</f>
        <v>Shruti Sharma</v>
      </c>
      <c r="J22" s="12" t="str">
        <f>IFERROR(__xludf.DUMMYFUNCTION("""COMPUTED_VALUE"""),"South")</f>
        <v>South</v>
      </c>
      <c r="K22" s="12" t="str">
        <f>IFERROR(__xludf.DUMMYFUNCTION("""COMPUTED_VALUE"""),"Printers")</f>
        <v>Printers</v>
      </c>
      <c r="L22" s="13">
        <f>IFERROR(__xludf.DUMMYFUNCTION("""COMPUTED_VALUE"""),156.0)</f>
        <v>156</v>
      </c>
      <c r="M22" s="13">
        <f>IFERROR(__xludf.DUMMYFUNCTION("""COMPUTED_VALUE"""),1170000.0)</f>
        <v>1170000</v>
      </c>
      <c r="N22" s="13">
        <f>IFERROR(__xludf.DUMMYFUNCTION("""COMPUTED_VALUE"""),7500.0)</f>
        <v>7500</v>
      </c>
      <c r="O22" s="13">
        <f>IFERROR(__xludf.DUMMYFUNCTION("""COMPUTED_VALUE"""),351000.0)</f>
        <v>351000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8" t="s">
        <v>117</v>
      </c>
      <c r="I1" s="8" t="s">
        <v>118</v>
      </c>
    </row>
    <row r="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1" t="s">
        <v>0</v>
      </c>
      <c r="J2" s="2" t="s">
        <v>1</v>
      </c>
      <c r="K2" s="2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>
      <c r="A3" s="12" t="str">
        <f>IFERROR(__xludf.DUMMYFUNCTION("SORT(FILTER('Sales Data'!A2:G99,'Sales Data'!C2:C99=""Printers"",'Sales Data'!B2:B99=""North""),4,FALSE)"),"Ishaan Choudhury")</f>
        <v>Ishaan Choudhury</v>
      </c>
      <c r="B3" s="12" t="str">
        <f>IFERROR(__xludf.DUMMYFUNCTION("""COMPUTED_VALUE"""),"North")</f>
        <v>North</v>
      </c>
      <c r="C3" s="12" t="str">
        <f>IFERROR(__xludf.DUMMYFUNCTION("""COMPUTED_VALUE"""),"Printers")</f>
        <v>Printers</v>
      </c>
      <c r="D3" s="13">
        <f>IFERROR(__xludf.DUMMYFUNCTION("""COMPUTED_VALUE"""),164.0)</f>
        <v>164</v>
      </c>
      <c r="E3" s="13">
        <f>IFERROR(__xludf.DUMMYFUNCTION("""COMPUTED_VALUE"""),1640000.0)</f>
        <v>1640000</v>
      </c>
      <c r="F3" s="13">
        <f>IFERROR(__xludf.DUMMYFUNCTION("""COMPUTED_VALUE"""),10000.0)</f>
        <v>10000</v>
      </c>
      <c r="G3" s="13">
        <f>IFERROR(__xludf.DUMMYFUNCTION("""COMPUTED_VALUE"""),492000.0)</f>
        <v>492000</v>
      </c>
      <c r="I3" s="12" t="str">
        <f>IFERROR(__xludf.DUMMYFUNCTION("SORT(FILTER('Sales Data'!A2:G99,'Sales Data'!B2:B99=""South"",'Sales Data'!C2:C99=""Printers"",'Sales Data'!E2:E99&gt;=900000),5,FALSE)"),"Aniket Mehta")</f>
        <v>Aniket Mehta</v>
      </c>
      <c r="J3" s="12" t="str">
        <f>IFERROR(__xludf.DUMMYFUNCTION("""COMPUTED_VALUE"""),"South")</f>
        <v>South</v>
      </c>
      <c r="K3" s="12" t="str">
        <f>IFERROR(__xludf.DUMMYFUNCTION("""COMPUTED_VALUE"""),"Printers")</f>
        <v>Printers</v>
      </c>
      <c r="L3" s="13">
        <f>IFERROR(__xludf.DUMMYFUNCTION("""COMPUTED_VALUE"""),180.0)</f>
        <v>180</v>
      </c>
      <c r="M3" s="13">
        <f>IFERROR(__xludf.DUMMYFUNCTION("""COMPUTED_VALUE"""),1800000.0)</f>
        <v>1800000</v>
      </c>
      <c r="N3" s="13">
        <f>IFERROR(__xludf.DUMMYFUNCTION("""COMPUTED_VALUE"""),10000.0)</f>
        <v>10000</v>
      </c>
      <c r="O3" s="13">
        <f>IFERROR(__xludf.DUMMYFUNCTION("""COMPUTED_VALUE"""),540000.0)</f>
        <v>540000</v>
      </c>
    </row>
    <row r="4">
      <c r="A4" s="12" t="str">
        <f>IFERROR(__xludf.DUMMYFUNCTION("""COMPUTED_VALUE"""),"Sachin Malhotra")</f>
        <v>Sachin Malhotra</v>
      </c>
      <c r="B4" s="12" t="str">
        <f>IFERROR(__xludf.DUMMYFUNCTION("""COMPUTED_VALUE"""),"North")</f>
        <v>North</v>
      </c>
      <c r="C4" s="12" t="str">
        <f>IFERROR(__xludf.DUMMYFUNCTION("""COMPUTED_VALUE"""),"Printers")</f>
        <v>Printers</v>
      </c>
      <c r="D4" s="13">
        <f>IFERROR(__xludf.DUMMYFUNCTION("""COMPUTED_VALUE"""),147.0)</f>
        <v>147</v>
      </c>
      <c r="E4" s="13">
        <f>IFERROR(__xludf.DUMMYFUNCTION("""COMPUTED_VALUE"""),1470000.0)</f>
        <v>1470000</v>
      </c>
      <c r="F4" s="13">
        <f>IFERROR(__xludf.DUMMYFUNCTION("""COMPUTED_VALUE"""),10000.0)</f>
        <v>10000</v>
      </c>
      <c r="G4" s="13">
        <f>IFERROR(__xludf.DUMMYFUNCTION("""COMPUTED_VALUE"""),441000.0)</f>
        <v>441000</v>
      </c>
      <c r="I4" s="12" t="str">
        <f>IFERROR(__xludf.DUMMYFUNCTION("""COMPUTED_VALUE"""),"Aditi Kapoor")</f>
        <v>Aditi Kapoor</v>
      </c>
      <c r="J4" s="12" t="str">
        <f>IFERROR(__xludf.DUMMYFUNCTION("""COMPUTED_VALUE"""),"South")</f>
        <v>South</v>
      </c>
      <c r="K4" s="12" t="str">
        <f>IFERROR(__xludf.DUMMYFUNCTION("""COMPUTED_VALUE"""),"Printers")</f>
        <v>Printers</v>
      </c>
      <c r="L4" s="13">
        <f>IFERROR(__xludf.DUMMYFUNCTION("""COMPUTED_VALUE"""),185.0)</f>
        <v>185</v>
      </c>
      <c r="M4" s="13">
        <f>IFERROR(__xludf.DUMMYFUNCTION("""COMPUTED_VALUE"""),1387500.0)</f>
        <v>1387500</v>
      </c>
      <c r="N4" s="13">
        <f>IFERROR(__xludf.DUMMYFUNCTION("""COMPUTED_VALUE"""),7500.0)</f>
        <v>7500</v>
      </c>
      <c r="O4" s="13">
        <f>IFERROR(__xludf.DUMMYFUNCTION("""COMPUTED_VALUE"""),416250.0)</f>
        <v>416250</v>
      </c>
    </row>
    <row r="5">
      <c r="A5" s="12" t="str">
        <f>IFERROR(__xludf.DUMMYFUNCTION("""COMPUTED_VALUE"""),"Arnav Kapoor")</f>
        <v>Arnav Kapoor</v>
      </c>
      <c r="B5" s="12" t="str">
        <f>IFERROR(__xludf.DUMMYFUNCTION("""COMPUTED_VALUE"""),"North")</f>
        <v>North</v>
      </c>
      <c r="C5" s="12" t="str">
        <f>IFERROR(__xludf.DUMMYFUNCTION("""COMPUTED_VALUE"""),"Printers")</f>
        <v>Printers</v>
      </c>
      <c r="D5" s="13">
        <f>IFERROR(__xludf.DUMMYFUNCTION("""COMPUTED_VALUE"""),136.0)</f>
        <v>136</v>
      </c>
      <c r="E5" s="13">
        <f>IFERROR(__xludf.DUMMYFUNCTION("""COMPUTED_VALUE"""),1360000.0)</f>
        <v>1360000</v>
      </c>
      <c r="F5" s="13">
        <f>IFERROR(__xludf.DUMMYFUNCTION("""COMPUTED_VALUE"""),10000.0)</f>
        <v>10000</v>
      </c>
      <c r="G5" s="13">
        <f>IFERROR(__xludf.DUMMYFUNCTION("""COMPUTED_VALUE"""),408000.0)</f>
        <v>408000</v>
      </c>
      <c r="I5" s="12" t="str">
        <f>IFERROR(__xludf.DUMMYFUNCTION("""COMPUTED_VALUE"""),"Rashmi Rastogi")</f>
        <v>Rashmi Rastogi</v>
      </c>
      <c r="J5" s="12" t="str">
        <f>IFERROR(__xludf.DUMMYFUNCTION("""COMPUTED_VALUE"""),"South")</f>
        <v>South</v>
      </c>
      <c r="K5" s="12" t="str">
        <f>IFERROR(__xludf.DUMMYFUNCTION("""COMPUTED_VALUE"""),"Printers")</f>
        <v>Printers</v>
      </c>
      <c r="L5" s="13">
        <f>IFERROR(__xludf.DUMMYFUNCTION("""COMPUTED_VALUE"""),122.0)</f>
        <v>122</v>
      </c>
      <c r="M5" s="13">
        <f>IFERROR(__xludf.DUMMYFUNCTION("""COMPUTED_VALUE"""),1220000.0)</f>
        <v>1220000</v>
      </c>
      <c r="N5" s="13">
        <f>IFERROR(__xludf.DUMMYFUNCTION("""COMPUTED_VALUE"""),10000.0)</f>
        <v>10000</v>
      </c>
      <c r="O5" s="13">
        <f>IFERROR(__xludf.DUMMYFUNCTION("""COMPUTED_VALUE"""),366000.0)</f>
        <v>366000</v>
      </c>
    </row>
    <row r="6">
      <c r="A6" s="12" t="str">
        <f>IFERROR(__xludf.DUMMYFUNCTION("""COMPUTED_VALUE"""),"Sruti Menon")</f>
        <v>Sruti Menon</v>
      </c>
      <c r="B6" s="12" t="str">
        <f>IFERROR(__xludf.DUMMYFUNCTION("""COMPUTED_VALUE"""),"North")</f>
        <v>North</v>
      </c>
      <c r="C6" s="12" t="str">
        <f>IFERROR(__xludf.DUMMYFUNCTION("""COMPUTED_VALUE"""),"Printers")</f>
        <v>Printers</v>
      </c>
      <c r="D6" s="13">
        <f>IFERROR(__xludf.DUMMYFUNCTION("""COMPUTED_VALUE"""),104.0)</f>
        <v>104</v>
      </c>
      <c r="E6" s="13">
        <f>IFERROR(__xludf.DUMMYFUNCTION("""COMPUTED_VALUE"""),1040000.0)</f>
        <v>1040000</v>
      </c>
      <c r="F6" s="13">
        <f>IFERROR(__xludf.DUMMYFUNCTION("""COMPUTED_VALUE"""),10000.0)</f>
        <v>10000</v>
      </c>
      <c r="G6" s="13">
        <f>IFERROR(__xludf.DUMMYFUNCTION("""COMPUTED_VALUE"""),312000.0)</f>
        <v>312000</v>
      </c>
      <c r="I6" s="12" t="str">
        <f>IFERROR(__xludf.DUMMYFUNCTION("""COMPUTED_VALUE"""),"Shreya Bajaj")</f>
        <v>Shreya Bajaj</v>
      </c>
      <c r="J6" s="12" t="str">
        <f>IFERROR(__xludf.DUMMYFUNCTION("""COMPUTED_VALUE"""),"South")</f>
        <v>South</v>
      </c>
      <c r="K6" s="12" t="str">
        <f>IFERROR(__xludf.DUMMYFUNCTION("""COMPUTED_VALUE"""),"Printers")</f>
        <v>Printers</v>
      </c>
      <c r="L6" s="13">
        <f>IFERROR(__xludf.DUMMYFUNCTION("""COMPUTED_VALUE"""),118.0)</f>
        <v>118</v>
      </c>
      <c r="M6" s="13">
        <f>IFERROR(__xludf.DUMMYFUNCTION("""COMPUTED_VALUE"""),1180000.0)</f>
        <v>1180000</v>
      </c>
      <c r="N6" s="13">
        <f>IFERROR(__xludf.DUMMYFUNCTION("""COMPUTED_VALUE"""),10000.0)</f>
        <v>10000</v>
      </c>
      <c r="O6" s="13">
        <f>IFERROR(__xludf.DUMMYFUNCTION("""COMPUTED_VALUE"""),354000.0)</f>
        <v>354000</v>
      </c>
    </row>
    <row r="7">
      <c r="A7" s="12" t="str">
        <f>IFERROR(__xludf.DUMMYFUNCTION("""COMPUTED_VALUE"""),"Parth Saxena")</f>
        <v>Parth Saxena</v>
      </c>
      <c r="B7" s="12" t="str">
        <f>IFERROR(__xludf.DUMMYFUNCTION("""COMPUTED_VALUE"""),"North")</f>
        <v>North</v>
      </c>
      <c r="C7" s="12" t="str">
        <f>IFERROR(__xludf.DUMMYFUNCTION("""COMPUTED_VALUE"""),"Printers")</f>
        <v>Printers</v>
      </c>
      <c r="D7" s="13">
        <f>IFERROR(__xludf.DUMMYFUNCTION("""COMPUTED_VALUE"""),86.0)</f>
        <v>86</v>
      </c>
      <c r="E7" s="13">
        <f>IFERROR(__xludf.DUMMYFUNCTION("""COMPUTED_VALUE"""),645000.0)</f>
        <v>645000</v>
      </c>
      <c r="F7" s="13">
        <f>IFERROR(__xludf.DUMMYFUNCTION("""COMPUTED_VALUE"""),7500.0)</f>
        <v>7500</v>
      </c>
      <c r="G7" s="13">
        <f>IFERROR(__xludf.DUMMYFUNCTION("""COMPUTED_VALUE"""),193500.0)</f>
        <v>193500</v>
      </c>
      <c r="I7" s="12" t="str">
        <f>IFERROR(__xludf.DUMMYFUNCTION("""COMPUTED_VALUE"""),"Shruti Sharma")</f>
        <v>Shruti Sharma</v>
      </c>
      <c r="J7" s="12" t="str">
        <f>IFERROR(__xludf.DUMMYFUNCTION("""COMPUTED_VALUE"""),"South")</f>
        <v>South</v>
      </c>
      <c r="K7" s="12" t="str">
        <f>IFERROR(__xludf.DUMMYFUNCTION("""COMPUTED_VALUE"""),"Printers")</f>
        <v>Printers</v>
      </c>
      <c r="L7" s="13">
        <f>IFERROR(__xludf.DUMMYFUNCTION("""COMPUTED_VALUE"""),156.0)</f>
        <v>156</v>
      </c>
      <c r="M7" s="13">
        <f>IFERROR(__xludf.DUMMYFUNCTION("""COMPUTED_VALUE"""),1170000.0)</f>
        <v>1170000</v>
      </c>
      <c r="N7" s="13">
        <f>IFERROR(__xludf.DUMMYFUNCTION("""COMPUTED_VALUE"""),7500.0)</f>
        <v>7500</v>
      </c>
      <c r="O7" s="13">
        <f>IFERROR(__xludf.DUMMYFUNCTION("""COMPUTED_VALUE"""),351000.0)</f>
        <v>351000</v>
      </c>
    </row>
    <row r="8">
      <c r="A8" s="12" t="str">
        <f>IFERROR(__xludf.DUMMYFUNCTION("""COMPUTED_VALUE"""),"Maheshwari Iyer")</f>
        <v>Maheshwari Iyer</v>
      </c>
      <c r="B8" s="12" t="str">
        <f>IFERROR(__xludf.DUMMYFUNCTION("""COMPUTED_VALUE"""),"North")</f>
        <v>North</v>
      </c>
      <c r="C8" s="12" t="str">
        <f>IFERROR(__xludf.DUMMYFUNCTION("""COMPUTED_VALUE"""),"Printers")</f>
        <v>Printers</v>
      </c>
      <c r="D8" s="13">
        <f>IFERROR(__xludf.DUMMYFUNCTION("""COMPUTED_VALUE"""),80.0)</f>
        <v>80</v>
      </c>
      <c r="E8" s="13">
        <f>IFERROR(__xludf.DUMMYFUNCTION("""COMPUTED_VALUE"""),600000.0)</f>
        <v>600000</v>
      </c>
      <c r="F8" s="13">
        <f>IFERROR(__xludf.DUMMYFUNCTION("""COMPUTED_VALUE"""),7500.0)</f>
        <v>7500</v>
      </c>
      <c r="G8" s="13">
        <f>IFERROR(__xludf.DUMMYFUNCTION("""COMPUTED_VALUE"""),180000.0)</f>
        <v>180000</v>
      </c>
      <c r="I8" s="12" t="str">
        <f>IFERROR(__xludf.DUMMYFUNCTION("""COMPUTED_VALUE"""),"Rhea Sharma")</f>
        <v>Rhea Sharma</v>
      </c>
      <c r="J8" s="12" t="str">
        <f>IFERROR(__xludf.DUMMYFUNCTION("""COMPUTED_VALUE"""),"South")</f>
        <v>South</v>
      </c>
      <c r="K8" s="12" t="str">
        <f>IFERROR(__xludf.DUMMYFUNCTION("""COMPUTED_VALUE"""),"Printers")</f>
        <v>Printers</v>
      </c>
      <c r="L8" s="13">
        <f>IFERROR(__xludf.DUMMYFUNCTION("""COMPUTED_VALUE"""),103.0)</f>
        <v>103</v>
      </c>
      <c r="M8" s="13">
        <f>IFERROR(__xludf.DUMMYFUNCTION("""COMPUTED_VALUE"""),1030000.0)</f>
        <v>1030000</v>
      </c>
      <c r="N8" s="13">
        <f>IFERROR(__xludf.DUMMYFUNCTION("""COMPUTED_VALUE"""),10000.0)</f>
        <v>10000</v>
      </c>
      <c r="O8" s="13">
        <f>IFERROR(__xludf.DUMMYFUNCTION("""COMPUTED_VALUE"""),309000.0)</f>
        <v>309000</v>
      </c>
    </row>
    <row r="9">
      <c r="A9" s="12" t="str">
        <f>IFERROR(__xludf.DUMMYFUNCTION("""COMPUTED_VALUE"""),"Tarun Aggarwal")</f>
        <v>Tarun Aggarwal</v>
      </c>
      <c r="B9" s="12" t="str">
        <f>IFERROR(__xludf.DUMMYFUNCTION("""COMPUTED_VALUE"""),"North")</f>
        <v>North</v>
      </c>
      <c r="C9" s="12" t="str">
        <f>IFERROR(__xludf.DUMMYFUNCTION("""COMPUTED_VALUE"""),"Printers")</f>
        <v>Printers</v>
      </c>
      <c r="D9" s="13">
        <f>IFERROR(__xludf.DUMMYFUNCTION("""COMPUTED_VALUE"""),66.0)</f>
        <v>66</v>
      </c>
      <c r="E9" s="13">
        <f>IFERROR(__xludf.DUMMYFUNCTION("""COMPUTED_VALUE"""),495000.0)</f>
        <v>495000</v>
      </c>
      <c r="F9" s="13">
        <f>IFERROR(__xludf.DUMMYFUNCTION("""COMPUTED_VALUE"""),7500.0)</f>
        <v>7500</v>
      </c>
      <c r="G9" s="13">
        <f>IFERROR(__xludf.DUMMYFUNCTION("""COMPUTED_VALUE"""),148500.0)</f>
        <v>148500</v>
      </c>
    </row>
    <row r="10">
      <c r="A10" s="12" t="str">
        <f>IFERROR(__xludf.DUMMYFUNCTION("""COMPUTED_VALUE"""),"Ishita Saxena")</f>
        <v>Ishita Saxena</v>
      </c>
      <c r="B10" s="12" t="str">
        <f>IFERROR(__xludf.DUMMYFUNCTION("""COMPUTED_VALUE"""),"North")</f>
        <v>North</v>
      </c>
      <c r="C10" s="12" t="str">
        <f>IFERROR(__xludf.DUMMYFUNCTION("""COMPUTED_VALUE"""),"Printers")</f>
        <v>Printers</v>
      </c>
      <c r="D10" s="13">
        <f>IFERROR(__xludf.DUMMYFUNCTION("""COMPUTED_VALUE"""),34.0)</f>
        <v>34</v>
      </c>
      <c r="E10" s="13">
        <f>IFERROR(__xludf.DUMMYFUNCTION("""COMPUTED_VALUE"""),340000.0)</f>
        <v>340000</v>
      </c>
      <c r="F10" s="13">
        <f>IFERROR(__xludf.DUMMYFUNCTION("""COMPUTED_VALUE"""),10000.0)</f>
        <v>10000</v>
      </c>
      <c r="G10" s="13">
        <f>IFERROR(__xludf.DUMMYFUNCTION("""COMPUTED_VALUE"""),102000.0)</f>
        <v>102000</v>
      </c>
      <c r="I10" s="8" t="s">
        <v>119</v>
      </c>
    </row>
    <row r="11">
      <c r="A11" s="12" t="str">
        <f>IFERROR(__xludf.DUMMYFUNCTION("""COMPUTED_VALUE"""),"Neha Gupta")</f>
        <v>Neha Gupta</v>
      </c>
      <c r="B11" s="12" t="str">
        <f>IFERROR(__xludf.DUMMYFUNCTION("""COMPUTED_VALUE"""),"North")</f>
        <v>North</v>
      </c>
      <c r="C11" s="12" t="str">
        <f>IFERROR(__xludf.DUMMYFUNCTION("""COMPUTED_VALUE"""),"Printers")</f>
        <v>Printers</v>
      </c>
      <c r="D11" s="13">
        <f>IFERROR(__xludf.DUMMYFUNCTION("""COMPUTED_VALUE"""),32.0)</f>
        <v>32</v>
      </c>
      <c r="E11" s="13">
        <f>IFERROR(__xludf.DUMMYFUNCTION("""COMPUTED_VALUE"""),320000.0)</f>
        <v>320000</v>
      </c>
      <c r="F11" s="13">
        <f>IFERROR(__xludf.DUMMYFUNCTION("""COMPUTED_VALUE"""),10000.0)</f>
        <v>10000</v>
      </c>
      <c r="G11" s="13">
        <f>IFERROR(__xludf.DUMMYFUNCTION("""COMPUTED_VALUE"""),96000.0)</f>
        <v>96000</v>
      </c>
      <c r="I11" s="1" t="s">
        <v>0</v>
      </c>
      <c r="J11" s="2" t="s">
        <v>1</v>
      </c>
      <c r="K11" s="2" t="s">
        <v>2</v>
      </c>
      <c r="L11" s="3" t="s">
        <v>3</v>
      </c>
      <c r="M11" s="3" t="s">
        <v>4</v>
      </c>
      <c r="N11" s="3" t="s">
        <v>5</v>
      </c>
      <c r="O11" s="3" t="s">
        <v>6</v>
      </c>
    </row>
    <row r="12">
      <c r="I12" s="12" t="str">
        <f>IFERROR(__xludf.DUMMYFUNCTION("SORT(FILTER('Sales Data'!A2:G99,'Sales Data'!E2:E99&gt;=650000,'Sales Data'!D2:D99&gt;180,'Sales Data'!C2:C99=""keyboards""),1,TRUE)"),"Divya Sharma")</f>
        <v>Divya Sharma</v>
      </c>
      <c r="J12" s="12" t="str">
        <f>IFERROR(__xludf.DUMMYFUNCTION("""COMPUTED_VALUE"""),"North")</f>
        <v>North</v>
      </c>
      <c r="K12" s="12" t="str">
        <f>IFERROR(__xludf.DUMMYFUNCTION("""COMPUTED_VALUE"""),"Keyboards")</f>
        <v>Keyboards</v>
      </c>
      <c r="L12" s="13">
        <f>IFERROR(__xludf.DUMMYFUNCTION("""COMPUTED_VALUE"""),181.0)</f>
        <v>181</v>
      </c>
      <c r="M12" s="13">
        <f>IFERROR(__xludf.DUMMYFUNCTION("""COMPUTED_VALUE"""),905000.0)</f>
        <v>905000</v>
      </c>
      <c r="N12" s="13">
        <f>IFERROR(__xludf.DUMMYFUNCTION("""COMPUTED_VALUE"""),5000.0)</f>
        <v>5000</v>
      </c>
      <c r="O12" s="13">
        <f>IFERROR(__xludf.DUMMYFUNCTION("""COMPUTED_VALUE"""),271500.0)</f>
        <v>271500</v>
      </c>
    </row>
    <row r="13">
      <c r="A13" s="8" t="s">
        <v>120</v>
      </c>
      <c r="I13" s="12" t="str">
        <f>IFERROR(__xludf.DUMMYFUNCTION("""COMPUTED_VALUE"""),"Nikhil Prasad")</f>
        <v>Nikhil Prasad</v>
      </c>
      <c r="J13" s="12" t="str">
        <f>IFERROR(__xludf.DUMMYFUNCTION("""COMPUTED_VALUE"""),"East")</f>
        <v>East</v>
      </c>
      <c r="K13" s="12" t="str">
        <f>IFERROR(__xludf.DUMMYFUNCTION("""COMPUTED_VALUE"""),"Keyboards")</f>
        <v>Keyboards</v>
      </c>
      <c r="L13" s="13">
        <f>IFERROR(__xludf.DUMMYFUNCTION("""COMPUTED_VALUE"""),184.0)</f>
        <v>184</v>
      </c>
      <c r="M13" s="13">
        <f>IFERROR(__xludf.DUMMYFUNCTION("""COMPUTED_VALUE"""),1104000.0)</f>
        <v>1104000</v>
      </c>
      <c r="N13" s="13">
        <f>IFERROR(__xludf.DUMMYFUNCTION("""COMPUTED_VALUE"""),6000.0)</f>
        <v>6000</v>
      </c>
      <c r="O13" s="13">
        <f>IFERROR(__xludf.DUMMYFUNCTION("""COMPUTED_VALUE"""),331200.0)</f>
        <v>331200</v>
      </c>
    </row>
    <row r="14">
      <c r="A14" s="1" t="s">
        <v>0</v>
      </c>
      <c r="B14" s="2" t="s">
        <v>1</v>
      </c>
      <c r="C14" s="2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I14" s="12" t="str">
        <f>IFERROR(__xludf.DUMMYFUNCTION("""COMPUTED_VALUE"""),"Prisha Singh")</f>
        <v>Prisha Singh</v>
      </c>
      <c r="J14" s="12" t="str">
        <f>IFERROR(__xludf.DUMMYFUNCTION("""COMPUTED_VALUE"""),"North")</f>
        <v>North</v>
      </c>
      <c r="K14" s="12" t="str">
        <f>IFERROR(__xludf.DUMMYFUNCTION("""COMPUTED_VALUE"""),"Keyboards")</f>
        <v>Keyboards</v>
      </c>
      <c r="L14" s="13">
        <f>IFERROR(__xludf.DUMMYFUNCTION("""COMPUTED_VALUE"""),190.0)</f>
        <v>190</v>
      </c>
      <c r="M14" s="13">
        <f>IFERROR(__xludf.DUMMYFUNCTION("""COMPUTED_VALUE"""),950000.0)</f>
        <v>950000</v>
      </c>
      <c r="N14" s="13">
        <f>IFERROR(__xludf.DUMMYFUNCTION("""COMPUTED_VALUE"""),5000.0)</f>
        <v>5000</v>
      </c>
      <c r="O14" s="13">
        <f>IFERROR(__xludf.DUMMYFUNCTION("""COMPUTED_VALUE"""),285000.0)</f>
        <v>285000</v>
      </c>
    </row>
    <row r="15">
      <c r="A15" s="12" t="str">
        <f>IFERROR(__xludf.DUMMYFUNCTION("SORT(FILTER('Sales Data'!A2:G99,'Sales Data'!D2:D99&gt;=150,'Sales Data'!B2:B99=""East""),5,False)"),"Nikhil Prasad")</f>
        <v>Nikhil Prasad</v>
      </c>
      <c r="B15" s="12" t="str">
        <f>IFERROR(__xludf.DUMMYFUNCTION("""COMPUTED_VALUE"""),"East")</f>
        <v>East</v>
      </c>
      <c r="C15" s="12" t="str">
        <f>IFERROR(__xludf.DUMMYFUNCTION("""COMPUTED_VALUE"""),"Keyboards")</f>
        <v>Keyboards</v>
      </c>
      <c r="D15" s="13">
        <f>IFERROR(__xludf.DUMMYFUNCTION("""COMPUTED_VALUE"""),184.0)</f>
        <v>184</v>
      </c>
      <c r="E15" s="13">
        <f>IFERROR(__xludf.DUMMYFUNCTION("""COMPUTED_VALUE"""),1104000.0)</f>
        <v>1104000</v>
      </c>
      <c r="F15" s="13">
        <f>IFERROR(__xludf.DUMMYFUNCTION("""COMPUTED_VALUE"""),6000.0)</f>
        <v>6000</v>
      </c>
      <c r="G15" s="13">
        <f>IFERROR(__xludf.DUMMYFUNCTION("""COMPUTED_VALUE"""),331200.0)</f>
        <v>331200</v>
      </c>
      <c r="I15" s="12" t="str">
        <f>IFERROR(__xludf.DUMMYFUNCTION("""COMPUTED_VALUE"""),"Sanya Chopra")</f>
        <v>Sanya Chopra</v>
      </c>
      <c r="J15" s="12" t="str">
        <f>IFERROR(__xludf.DUMMYFUNCTION("""COMPUTED_VALUE"""),"West")</f>
        <v>West</v>
      </c>
      <c r="K15" s="12" t="str">
        <f>IFERROR(__xludf.DUMMYFUNCTION("""COMPUTED_VALUE"""),"Keyboards")</f>
        <v>Keyboards</v>
      </c>
      <c r="L15" s="13">
        <f>IFERROR(__xludf.DUMMYFUNCTION("""COMPUTED_VALUE"""),183.0)</f>
        <v>183</v>
      </c>
      <c r="M15" s="13">
        <f>IFERROR(__xludf.DUMMYFUNCTION("""COMPUTED_VALUE"""),1098000.0)</f>
        <v>1098000</v>
      </c>
      <c r="N15" s="13">
        <f>IFERROR(__xludf.DUMMYFUNCTION("""COMPUTED_VALUE"""),6000.0)</f>
        <v>6000</v>
      </c>
      <c r="O15" s="13">
        <f>IFERROR(__xludf.DUMMYFUNCTION("""COMPUTED_VALUE"""),329400.0)</f>
        <v>329400</v>
      </c>
    </row>
    <row r="16">
      <c r="A16" s="12" t="str">
        <f>IFERROR(__xludf.DUMMYFUNCTION("""COMPUTED_VALUE"""),"Lokesh Tiwari")</f>
        <v>Lokesh Tiwari</v>
      </c>
      <c r="B16" s="12" t="str">
        <f>IFERROR(__xludf.DUMMYFUNCTION("""COMPUTED_VALUE"""),"East")</f>
        <v>East</v>
      </c>
      <c r="C16" s="12" t="str">
        <f>IFERROR(__xludf.DUMMYFUNCTION("""COMPUTED_VALUE"""),"Keyboards")</f>
        <v>Keyboards</v>
      </c>
      <c r="D16" s="13">
        <f>IFERROR(__xludf.DUMMYFUNCTION("""COMPUTED_VALUE"""),152.0)</f>
        <v>152</v>
      </c>
      <c r="E16" s="13">
        <f>IFERROR(__xludf.DUMMYFUNCTION("""COMPUTED_VALUE"""),760000.0)</f>
        <v>760000</v>
      </c>
      <c r="F16" s="13">
        <f>IFERROR(__xludf.DUMMYFUNCTION("""COMPUTED_VALUE"""),5000.0)</f>
        <v>5000</v>
      </c>
      <c r="G16" s="13">
        <f>IFERROR(__xludf.DUMMYFUNCTION("""COMPUTED_VALUE"""),228000.0)</f>
        <v>228000</v>
      </c>
    </row>
    <row r="17">
      <c r="A17" s="12" t="str">
        <f>IFERROR(__xludf.DUMMYFUNCTION("""COMPUTED_VALUE"""),"Alia Mehrotra")</f>
        <v>Alia Mehrotra</v>
      </c>
      <c r="B17" s="12" t="str">
        <f>IFERROR(__xludf.DUMMYFUNCTION("""COMPUTED_VALUE"""),"East")</f>
        <v>East</v>
      </c>
      <c r="C17" s="12" t="str">
        <f>IFERROR(__xludf.DUMMYFUNCTION("""COMPUTED_VALUE"""),"Cameras")</f>
        <v>Cameras</v>
      </c>
      <c r="D17" s="13">
        <f>IFERROR(__xludf.DUMMYFUNCTION("""COMPUTED_VALUE"""),181.0)</f>
        <v>181</v>
      </c>
      <c r="E17" s="13">
        <f>IFERROR(__xludf.DUMMYFUNCTION("""COMPUTED_VALUE"""),543000.0)</f>
        <v>543000</v>
      </c>
      <c r="F17" s="13">
        <f>IFERROR(__xludf.DUMMYFUNCTION("""COMPUTED_VALUE"""),3000.0)</f>
        <v>3000</v>
      </c>
      <c r="G17" s="13">
        <f>IFERROR(__xludf.DUMMYFUNCTION("""COMPUTED_VALUE"""),162900.0)</f>
        <v>162900</v>
      </c>
    </row>
    <row r="18">
      <c r="A18" s="12" t="str">
        <f>IFERROR(__xludf.DUMMYFUNCTION("""COMPUTED_VALUE"""),"Lakshay Aggarwal")</f>
        <v>Lakshay Aggarwal</v>
      </c>
      <c r="B18" s="12" t="str">
        <f>IFERROR(__xludf.DUMMYFUNCTION("""COMPUTED_VALUE"""),"East")</f>
        <v>East</v>
      </c>
      <c r="C18" s="12" t="str">
        <f>IFERROR(__xludf.DUMMYFUNCTION("""COMPUTED_VALUE"""),"Cameras")</f>
        <v>Cameras</v>
      </c>
      <c r="D18" s="13">
        <f>IFERROR(__xludf.DUMMYFUNCTION("""COMPUTED_VALUE"""),163.0)</f>
        <v>163</v>
      </c>
      <c r="E18" s="13">
        <f>IFERROR(__xludf.DUMMYFUNCTION("""COMPUTED_VALUE"""),489000.0)</f>
        <v>489000</v>
      </c>
      <c r="F18" s="13">
        <f>IFERROR(__xludf.DUMMYFUNCTION("""COMPUTED_VALUE"""),3000.0)</f>
        <v>3000</v>
      </c>
      <c r="G18" s="13">
        <f>IFERROR(__xludf.DUMMYFUNCTION("""COMPUTED_VALUE"""),146700.0)</f>
        <v>146700</v>
      </c>
    </row>
    <row r="19">
      <c r="A19" s="12" t="str">
        <f>IFERROR(__xludf.DUMMYFUNCTION("""COMPUTED_VALUE"""),"Tanvi Rastogi")</f>
        <v>Tanvi Rastogi</v>
      </c>
      <c r="B19" s="12" t="str">
        <f>IFERROR(__xludf.DUMMYFUNCTION("""COMPUTED_VALUE"""),"East")</f>
        <v>East</v>
      </c>
      <c r="C19" s="12" t="str">
        <f>IFERROR(__xludf.DUMMYFUNCTION("""COMPUTED_VALUE"""),"Cameras")</f>
        <v>Cameras</v>
      </c>
      <c r="D19" s="13">
        <f>IFERROR(__xludf.DUMMYFUNCTION("""COMPUTED_VALUE"""),158.0)</f>
        <v>158</v>
      </c>
      <c r="E19" s="13">
        <f>IFERROR(__xludf.DUMMYFUNCTION("""COMPUTED_VALUE"""),474000.0)</f>
        <v>474000</v>
      </c>
      <c r="F19" s="13">
        <f>IFERROR(__xludf.DUMMYFUNCTION("""COMPUTED_VALUE"""),3000.0)</f>
        <v>3000</v>
      </c>
      <c r="G19" s="13">
        <f>IFERROR(__xludf.DUMMYFUNCTION("""COMPUTED_VALUE"""),142200.0)</f>
        <v>142200</v>
      </c>
    </row>
    <row r="21">
      <c r="A21" s="8" t="s">
        <v>121</v>
      </c>
    </row>
    <row r="22">
      <c r="A22" s="1" t="s">
        <v>0</v>
      </c>
      <c r="B22" s="2" t="s">
        <v>1</v>
      </c>
      <c r="C22" s="2" t="s">
        <v>2</v>
      </c>
      <c r="D22" s="3" t="s">
        <v>3</v>
      </c>
      <c r="E22" s="3" t="s">
        <v>4</v>
      </c>
      <c r="F22" s="3" t="s">
        <v>5</v>
      </c>
      <c r="G22" s="3" t="s">
        <v>6</v>
      </c>
    </row>
    <row r="23">
      <c r="A23" s="12" t="str">
        <f>IFERROR(__xludf.DUMMYFUNCTION("SORT(FILTER('Sales Data'!A2:G99,'Sales Data'!B2:B99=""West""),7,FALSE)"),"Devika Khanna")</f>
        <v>Devika Khanna</v>
      </c>
      <c r="B23" s="12" t="str">
        <f>IFERROR(__xludf.DUMMYFUNCTION("""COMPUTED_VALUE"""),"West")</f>
        <v>West</v>
      </c>
      <c r="C23" s="12" t="str">
        <f>IFERROR(__xludf.DUMMYFUNCTION("""COMPUTED_VALUE"""),"Printers")</f>
        <v>Printers</v>
      </c>
      <c r="D23" s="13">
        <f>IFERROR(__xludf.DUMMYFUNCTION("""COMPUTED_VALUE"""),196.0)</f>
        <v>196</v>
      </c>
      <c r="E23" s="13">
        <f>IFERROR(__xludf.DUMMYFUNCTION("""COMPUTED_VALUE"""),1960000.0)</f>
        <v>1960000</v>
      </c>
      <c r="F23" s="13">
        <f>IFERROR(__xludf.DUMMYFUNCTION("""COMPUTED_VALUE"""),10000.0)</f>
        <v>10000</v>
      </c>
      <c r="G23" s="13">
        <f>IFERROR(__xludf.DUMMYFUNCTION("""COMPUTED_VALUE"""),588000.0)</f>
        <v>588000</v>
      </c>
    </row>
    <row r="24">
      <c r="A24" s="12" t="str">
        <f>IFERROR(__xludf.DUMMYFUNCTION("""COMPUTED_VALUE"""),"Muskan Chawla")</f>
        <v>Muskan Chawla</v>
      </c>
      <c r="B24" s="12" t="str">
        <f>IFERROR(__xludf.DUMMYFUNCTION("""COMPUTED_VALUE"""),"West")</f>
        <v>West</v>
      </c>
      <c r="C24" s="12" t="str">
        <f>IFERROR(__xludf.DUMMYFUNCTION("""COMPUTED_VALUE"""),"Printers")</f>
        <v>Printers</v>
      </c>
      <c r="D24" s="13">
        <f>IFERROR(__xludf.DUMMYFUNCTION("""COMPUTED_VALUE"""),193.0)</f>
        <v>193</v>
      </c>
      <c r="E24" s="13">
        <f>IFERROR(__xludf.DUMMYFUNCTION("""COMPUTED_VALUE"""),1930000.0)</f>
        <v>1930000</v>
      </c>
      <c r="F24" s="13">
        <f>IFERROR(__xludf.DUMMYFUNCTION("""COMPUTED_VALUE"""),10000.0)</f>
        <v>10000</v>
      </c>
      <c r="G24" s="13">
        <f>IFERROR(__xludf.DUMMYFUNCTION("""COMPUTED_VALUE"""),579000.0)</f>
        <v>579000</v>
      </c>
    </row>
    <row r="25">
      <c r="A25" s="12" t="str">
        <f>IFERROR(__xludf.DUMMYFUNCTION("""COMPUTED_VALUE"""),"Manish Thakur")</f>
        <v>Manish Thakur</v>
      </c>
      <c r="B25" s="12" t="str">
        <f>IFERROR(__xludf.DUMMYFUNCTION("""COMPUTED_VALUE"""),"West")</f>
        <v>West</v>
      </c>
      <c r="C25" s="12" t="str">
        <f>IFERROR(__xludf.DUMMYFUNCTION("""COMPUTED_VALUE"""),"Printers")</f>
        <v>Printers</v>
      </c>
      <c r="D25" s="13">
        <f>IFERROR(__xludf.DUMMYFUNCTION("""COMPUTED_VALUE"""),191.0)</f>
        <v>191</v>
      </c>
      <c r="E25" s="13">
        <f>IFERROR(__xludf.DUMMYFUNCTION("""COMPUTED_VALUE"""),1910000.0)</f>
        <v>1910000</v>
      </c>
      <c r="F25" s="13">
        <f>IFERROR(__xludf.DUMMYFUNCTION("""COMPUTED_VALUE"""),10000.0)</f>
        <v>10000</v>
      </c>
      <c r="G25" s="13">
        <f>IFERROR(__xludf.DUMMYFUNCTION("""COMPUTED_VALUE"""),573000.0)</f>
        <v>573000</v>
      </c>
    </row>
    <row r="26">
      <c r="A26" s="12" t="str">
        <f>IFERROR(__xludf.DUMMYFUNCTION("""COMPUTED_VALUE"""),"Kritika Kapoor")</f>
        <v>Kritika Kapoor</v>
      </c>
      <c r="B26" s="12" t="str">
        <f>IFERROR(__xludf.DUMMYFUNCTION("""COMPUTED_VALUE"""),"West")</f>
        <v>West</v>
      </c>
      <c r="C26" s="12" t="str">
        <f>IFERROR(__xludf.DUMMYFUNCTION("""COMPUTED_VALUE"""),"Printers")</f>
        <v>Printers</v>
      </c>
      <c r="D26" s="13">
        <f>IFERROR(__xludf.DUMMYFUNCTION("""COMPUTED_VALUE"""),132.0)</f>
        <v>132</v>
      </c>
      <c r="E26" s="13">
        <f>IFERROR(__xludf.DUMMYFUNCTION("""COMPUTED_VALUE"""),1320000.0)</f>
        <v>1320000</v>
      </c>
      <c r="F26" s="13">
        <f>IFERROR(__xludf.DUMMYFUNCTION("""COMPUTED_VALUE"""),10000.0)</f>
        <v>10000</v>
      </c>
      <c r="G26" s="13">
        <f>IFERROR(__xludf.DUMMYFUNCTION("""COMPUTED_VALUE"""),396000.0)</f>
        <v>396000</v>
      </c>
    </row>
    <row r="27">
      <c r="A27" s="12" t="str">
        <f>IFERROR(__xludf.DUMMYFUNCTION("""COMPUTED_VALUE"""),"Vipul Sharma")</f>
        <v>Vipul Sharma</v>
      </c>
      <c r="B27" s="12" t="str">
        <f>IFERROR(__xludf.DUMMYFUNCTION("""COMPUTED_VALUE"""),"West")</f>
        <v>West</v>
      </c>
      <c r="C27" s="12" t="str">
        <f>IFERROR(__xludf.DUMMYFUNCTION("""COMPUTED_VALUE"""),"Printers")</f>
        <v>Printers</v>
      </c>
      <c r="D27" s="13">
        <f>IFERROR(__xludf.DUMMYFUNCTION("""COMPUTED_VALUE"""),161.0)</f>
        <v>161</v>
      </c>
      <c r="E27" s="13">
        <f>IFERROR(__xludf.DUMMYFUNCTION("""COMPUTED_VALUE"""),1207500.0)</f>
        <v>1207500</v>
      </c>
      <c r="F27" s="13">
        <f>IFERROR(__xludf.DUMMYFUNCTION("""COMPUTED_VALUE"""),7500.0)</f>
        <v>7500</v>
      </c>
      <c r="G27" s="13">
        <f>IFERROR(__xludf.DUMMYFUNCTION("""COMPUTED_VALUE"""),362250.0)</f>
        <v>362250</v>
      </c>
    </row>
    <row r="28">
      <c r="A28" s="12" t="str">
        <f>IFERROR(__xludf.DUMMYFUNCTION("""COMPUTED_VALUE"""),"Arjun Singhania")</f>
        <v>Arjun Singhania</v>
      </c>
      <c r="B28" s="12" t="str">
        <f>IFERROR(__xludf.DUMMYFUNCTION("""COMPUTED_VALUE"""),"West")</f>
        <v>West</v>
      </c>
      <c r="C28" s="12" t="str">
        <f>IFERROR(__xludf.DUMMYFUNCTION("""COMPUTED_VALUE"""),"Printers")</f>
        <v>Printers</v>
      </c>
      <c r="D28" s="13">
        <f>IFERROR(__xludf.DUMMYFUNCTION("""COMPUTED_VALUE"""),120.0)</f>
        <v>120</v>
      </c>
      <c r="E28" s="13">
        <f>IFERROR(__xludf.DUMMYFUNCTION("""COMPUTED_VALUE"""),1200000.0)</f>
        <v>1200000</v>
      </c>
      <c r="F28" s="13">
        <f>IFERROR(__xludf.DUMMYFUNCTION("""COMPUTED_VALUE"""),10000.0)</f>
        <v>10000</v>
      </c>
      <c r="G28" s="13">
        <f>IFERROR(__xludf.DUMMYFUNCTION("""COMPUTED_VALUE"""),360000.0)</f>
        <v>360000</v>
      </c>
    </row>
    <row r="29">
      <c r="A29" s="12" t="str">
        <f>IFERROR(__xludf.DUMMYFUNCTION("""COMPUTED_VALUE"""),"Sanya Chopra")</f>
        <v>Sanya Chopra</v>
      </c>
      <c r="B29" s="12" t="str">
        <f>IFERROR(__xludf.DUMMYFUNCTION("""COMPUTED_VALUE"""),"West")</f>
        <v>West</v>
      </c>
      <c r="C29" s="12" t="str">
        <f>IFERROR(__xludf.DUMMYFUNCTION("""COMPUTED_VALUE"""),"Keyboards")</f>
        <v>Keyboards</v>
      </c>
      <c r="D29" s="13">
        <f>IFERROR(__xludf.DUMMYFUNCTION("""COMPUTED_VALUE"""),183.0)</f>
        <v>183</v>
      </c>
      <c r="E29" s="13">
        <f>IFERROR(__xludf.DUMMYFUNCTION("""COMPUTED_VALUE"""),1098000.0)</f>
        <v>1098000</v>
      </c>
      <c r="F29" s="13">
        <f>IFERROR(__xludf.DUMMYFUNCTION("""COMPUTED_VALUE"""),6000.0)</f>
        <v>6000</v>
      </c>
      <c r="G29" s="13">
        <f>IFERROR(__xludf.DUMMYFUNCTION("""COMPUTED_VALUE"""),329400.0)</f>
        <v>329400</v>
      </c>
    </row>
    <row r="30">
      <c r="A30" s="12" t="str">
        <f>IFERROR(__xludf.DUMMYFUNCTION("""COMPUTED_VALUE"""),"Rishi Thakkar")</f>
        <v>Rishi Thakkar</v>
      </c>
      <c r="B30" s="12" t="str">
        <f>IFERROR(__xludf.DUMMYFUNCTION("""COMPUTED_VALUE"""),"West")</f>
        <v>West</v>
      </c>
      <c r="C30" s="12" t="str">
        <f>IFERROR(__xludf.DUMMYFUNCTION("""COMPUTED_VALUE"""),"Keyboards")</f>
        <v>Keyboards</v>
      </c>
      <c r="D30" s="13">
        <f>IFERROR(__xludf.DUMMYFUNCTION("""COMPUTED_VALUE"""),119.0)</f>
        <v>119</v>
      </c>
      <c r="E30" s="13">
        <f>IFERROR(__xludf.DUMMYFUNCTION("""COMPUTED_VALUE"""),714000.0)</f>
        <v>714000</v>
      </c>
      <c r="F30" s="13">
        <f>IFERROR(__xludf.DUMMYFUNCTION("""COMPUTED_VALUE"""),6000.0)</f>
        <v>6000</v>
      </c>
      <c r="G30" s="13">
        <f>IFERROR(__xludf.DUMMYFUNCTION("""COMPUTED_VALUE"""),214200.0)</f>
        <v>214200</v>
      </c>
    </row>
    <row r="31">
      <c r="A31" s="12" t="str">
        <f>IFERROR(__xludf.DUMMYFUNCTION("""COMPUTED_VALUE"""),"Navin Rawat")</f>
        <v>Navin Rawat</v>
      </c>
      <c r="B31" s="12" t="str">
        <f>IFERROR(__xludf.DUMMYFUNCTION("""COMPUTED_VALUE"""),"West")</f>
        <v>West</v>
      </c>
      <c r="C31" s="12" t="str">
        <f>IFERROR(__xludf.DUMMYFUNCTION("""COMPUTED_VALUE"""),"Cameras")</f>
        <v>Cameras</v>
      </c>
      <c r="D31" s="13">
        <f>IFERROR(__xludf.DUMMYFUNCTION("""COMPUTED_VALUE"""),175.0)</f>
        <v>175</v>
      </c>
      <c r="E31" s="13">
        <f>IFERROR(__xludf.DUMMYFUNCTION("""COMPUTED_VALUE"""),647500.0)</f>
        <v>647500</v>
      </c>
      <c r="F31" s="13">
        <f>IFERROR(__xludf.DUMMYFUNCTION("""COMPUTED_VALUE"""),3700.0)</f>
        <v>3700</v>
      </c>
      <c r="G31" s="13">
        <f>IFERROR(__xludf.DUMMYFUNCTION("""COMPUTED_VALUE"""),194250.0)</f>
        <v>194250</v>
      </c>
    </row>
    <row r="32">
      <c r="A32" s="12" t="str">
        <f>IFERROR(__xludf.DUMMYFUNCTION("""COMPUTED_VALUE"""),"Siddharth Patel")</f>
        <v>Siddharth Patel</v>
      </c>
      <c r="B32" s="12" t="str">
        <f>IFERROR(__xludf.DUMMYFUNCTION("""COMPUTED_VALUE"""),"West")</f>
        <v>West</v>
      </c>
      <c r="C32" s="12" t="str">
        <f>IFERROR(__xludf.DUMMYFUNCTION("""COMPUTED_VALUE"""),"Keyboards")</f>
        <v>Keyboards</v>
      </c>
      <c r="D32" s="13">
        <f>IFERROR(__xludf.DUMMYFUNCTION("""COMPUTED_VALUE"""),102.0)</f>
        <v>102</v>
      </c>
      <c r="E32" s="13">
        <f>IFERROR(__xludf.DUMMYFUNCTION("""COMPUTED_VALUE"""),612000.0)</f>
        <v>612000</v>
      </c>
      <c r="F32" s="13">
        <f>IFERROR(__xludf.DUMMYFUNCTION("""COMPUTED_VALUE"""),6000.0)</f>
        <v>6000</v>
      </c>
      <c r="G32" s="13">
        <f>IFERROR(__xludf.DUMMYFUNCTION("""COMPUTED_VALUE"""),183600.0)</f>
        <v>183600</v>
      </c>
    </row>
    <row r="33">
      <c r="A33" s="12" t="str">
        <f>IFERROR(__xludf.DUMMYFUNCTION("""COMPUTED_VALUE"""),"Shivam Singh")</f>
        <v>Shivam Singh</v>
      </c>
      <c r="B33" s="12" t="str">
        <f>IFERROR(__xludf.DUMMYFUNCTION("""COMPUTED_VALUE"""),"West")</f>
        <v>West</v>
      </c>
      <c r="C33" s="12" t="str">
        <f>IFERROR(__xludf.DUMMYFUNCTION("""COMPUTED_VALUE"""),"Cameras")</f>
        <v>Cameras</v>
      </c>
      <c r="D33" s="13">
        <f>IFERROR(__xludf.DUMMYFUNCTION("""COMPUTED_VALUE"""),196.0)</f>
        <v>196</v>
      </c>
      <c r="E33" s="13">
        <f>IFERROR(__xludf.DUMMYFUNCTION("""COMPUTED_VALUE"""),588000.0)</f>
        <v>588000</v>
      </c>
      <c r="F33" s="13">
        <f>IFERROR(__xludf.DUMMYFUNCTION("""COMPUTED_VALUE"""),3000.0)</f>
        <v>3000</v>
      </c>
      <c r="G33" s="13">
        <f>IFERROR(__xludf.DUMMYFUNCTION("""COMPUTED_VALUE"""),176400.0)</f>
        <v>176400</v>
      </c>
    </row>
    <row r="34">
      <c r="A34" s="12" t="str">
        <f>IFERROR(__xludf.DUMMYFUNCTION("""COMPUTED_VALUE"""),"Lavanya Bhatia")</f>
        <v>Lavanya Bhatia</v>
      </c>
      <c r="B34" s="12" t="str">
        <f>IFERROR(__xludf.DUMMYFUNCTION("""COMPUTED_VALUE"""),"West")</f>
        <v>West</v>
      </c>
      <c r="C34" s="12" t="str">
        <f>IFERROR(__xludf.DUMMYFUNCTION("""COMPUTED_VALUE"""),"Printers")</f>
        <v>Printers</v>
      </c>
      <c r="D34" s="13">
        <f>IFERROR(__xludf.DUMMYFUNCTION("""COMPUTED_VALUE"""),73.0)</f>
        <v>73</v>
      </c>
      <c r="E34" s="13">
        <f>IFERROR(__xludf.DUMMYFUNCTION("""COMPUTED_VALUE"""),547500.0)</f>
        <v>547500</v>
      </c>
      <c r="F34" s="13">
        <f>IFERROR(__xludf.DUMMYFUNCTION("""COMPUTED_VALUE"""),7500.0)</f>
        <v>7500</v>
      </c>
      <c r="G34" s="13">
        <f>IFERROR(__xludf.DUMMYFUNCTION("""COMPUTED_VALUE"""),164250.0)</f>
        <v>164250</v>
      </c>
    </row>
    <row r="35">
      <c r="A35" s="12" t="str">
        <f>IFERROR(__xludf.DUMMYFUNCTION("""COMPUTED_VALUE"""),"Chetan Rana")</f>
        <v>Chetan Rana</v>
      </c>
      <c r="B35" s="12" t="str">
        <f>IFERROR(__xludf.DUMMYFUNCTION("""COMPUTED_VALUE"""),"West")</f>
        <v>West</v>
      </c>
      <c r="C35" s="12" t="str">
        <f>IFERROR(__xludf.DUMMYFUNCTION("""COMPUTED_VALUE"""),"Cameras")</f>
        <v>Cameras</v>
      </c>
      <c r="D35" s="13">
        <f>IFERROR(__xludf.DUMMYFUNCTION("""COMPUTED_VALUE"""),182.0)</f>
        <v>182</v>
      </c>
      <c r="E35" s="13">
        <f>IFERROR(__xludf.DUMMYFUNCTION("""COMPUTED_VALUE"""),546000.0)</f>
        <v>546000</v>
      </c>
      <c r="F35" s="13">
        <f>IFERROR(__xludf.DUMMYFUNCTION("""COMPUTED_VALUE"""),3000.0)</f>
        <v>3000</v>
      </c>
      <c r="G35" s="13">
        <f>IFERROR(__xludf.DUMMYFUNCTION("""COMPUTED_VALUE"""),163800.0)</f>
        <v>163800</v>
      </c>
    </row>
    <row r="36">
      <c r="A36" s="12" t="str">
        <f>IFERROR(__xludf.DUMMYFUNCTION("""COMPUTED_VALUE"""),"Sourabh Mishra")</f>
        <v>Sourabh Mishra</v>
      </c>
      <c r="B36" s="12" t="str">
        <f>IFERROR(__xludf.DUMMYFUNCTION("""COMPUTED_VALUE"""),"West")</f>
        <v>West</v>
      </c>
      <c r="C36" s="12" t="str">
        <f>IFERROR(__xludf.DUMMYFUNCTION("""COMPUTED_VALUE"""),"Cameras")</f>
        <v>Cameras</v>
      </c>
      <c r="D36" s="13">
        <f>IFERROR(__xludf.DUMMYFUNCTION("""COMPUTED_VALUE"""),160.0)</f>
        <v>160</v>
      </c>
      <c r="E36" s="13">
        <f>IFERROR(__xludf.DUMMYFUNCTION("""COMPUTED_VALUE"""),480000.0)</f>
        <v>480000</v>
      </c>
      <c r="F36" s="13">
        <f>IFERROR(__xludf.DUMMYFUNCTION("""COMPUTED_VALUE"""),3000.0)</f>
        <v>3000</v>
      </c>
      <c r="G36" s="13">
        <f>IFERROR(__xludf.DUMMYFUNCTION("""COMPUTED_VALUE"""),144000.0)</f>
        <v>144000</v>
      </c>
    </row>
    <row r="37">
      <c r="A37" s="12" t="str">
        <f>IFERROR(__xludf.DUMMYFUNCTION("""COMPUTED_VALUE"""),"Aditya Varun")</f>
        <v>Aditya Varun</v>
      </c>
      <c r="B37" s="12" t="str">
        <f>IFERROR(__xludf.DUMMYFUNCTION("""COMPUTED_VALUE"""),"West")</f>
        <v>West</v>
      </c>
      <c r="C37" s="12" t="str">
        <f>IFERROR(__xludf.DUMMYFUNCTION("""COMPUTED_VALUE"""),"Cameras")</f>
        <v>Cameras</v>
      </c>
      <c r="D37" s="13">
        <f>IFERROR(__xludf.DUMMYFUNCTION("""COMPUTED_VALUE"""),160.0)</f>
        <v>160</v>
      </c>
      <c r="E37" s="13">
        <f>IFERROR(__xludf.DUMMYFUNCTION("""COMPUTED_VALUE"""),480000.0)</f>
        <v>480000</v>
      </c>
      <c r="F37" s="13">
        <f>IFERROR(__xludf.DUMMYFUNCTION("""COMPUTED_VALUE"""),3000.0)</f>
        <v>3000</v>
      </c>
      <c r="G37" s="13">
        <f>IFERROR(__xludf.DUMMYFUNCTION("""COMPUTED_VALUE"""),144000.0)</f>
        <v>144000</v>
      </c>
    </row>
    <row r="38">
      <c r="A38" s="12" t="str">
        <f>IFERROR(__xludf.DUMMYFUNCTION("""COMPUTED_VALUE"""),"Varun Malik")</f>
        <v>Varun Malik</v>
      </c>
      <c r="B38" s="12" t="str">
        <f>IFERROR(__xludf.DUMMYFUNCTION("""COMPUTED_VALUE"""),"West")</f>
        <v>West</v>
      </c>
      <c r="C38" s="12" t="str">
        <f>IFERROR(__xludf.DUMMYFUNCTION("""COMPUTED_VALUE"""),"Keyboards")</f>
        <v>Keyboards</v>
      </c>
      <c r="D38" s="13">
        <f>IFERROR(__xludf.DUMMYFUNCTION("""COMPUTED_VALUE"""),75.0)</f>
        <v>75</v>
      </c>
      <c r="E38" s="13">
        <f>IFERROR(__xludf.DUMMYFUNCTION("""COMPUTED_VALUE"""),450000.0)</f>
        <v>450000</v>
      </c>
      <c r="F38" s="13">
        <f>IFERROR(__xludf.DUMMYFUNCTION("""COMPUTED_VALUE"""),6000.0)</f>
        <v>6000</v>
      </c>
      <c r="G38" s="13">
        <f>IFERROR(__xludf.DUMMYFUNCTION("""COMPUTED_VALUE"""),135000.0)</f>
        <v>135000</v>
      </c>
    </row>
    <row r="39">
      <c r="A39" s="12" t="str">
        <f>IFERROR(__xludf.DUMMYFUNCTION("""COMPUTED_VALUE"""),"Rajat Kapoor")</f>
        <v>Rajat Kapoor</v>
      </c>
      <c r="B39" s="12" t="str">
        <f>IFERROR(__xludf.DUMMYFUNCTION("""COMPUTED_VALUE"""),"West")</f>
        <v>West</v>
      </c>
      <c r="C39" s="12" t="str">
        <f>IFERROR(__xludf.DUMMYFUNCTION("""COMPUTED_VALUE"""),"Cameras")</f>
        <v>Cameras</v>
      </c>
      <c r="D39" s="13">
        <f>IFERROR(__xludf.DUMMYFUNCTION("""COMPUTED_VALUE"""),136.0)</f>
        <v>136</v>
      </c>
      <c r="E39" s="13">
        <f>IFERROR(__xludf.DUMMYFUNCTION("""COMPUTED_VALUE"""),408000.0)</f>
        <v>408000</v>
      </c>
      <c r="F39" s="13">
        <f>IFERROR(__xludf.DUMMYFUNCTION("""COMPUTED_VALUE"""),3000.0)</f>
        <v>3000</v>
      </c>
      <c r="G39" s="13">
        <f>IFERROR(__xludf.DUMMYFUNCTION("""COMPUTED_VALUE"""),122400.0)</f>
        <v>122400</v>
      </c>
    </row>
    <row r="40">
      <c r="A40" s="12" t="str">
        <f>IFERROR(__xludf.DUMMYFUNCTION("""COMPUTED_VALUE"""),"Akshay Desai")</f>
        <v>Akshay Desai</v>
      </c>
      <c r="B40" s="12" t="str">
        <f>IFERROR(__xludf.DUMMYFUNCTION("""COMPUTED_VALUE"""),"West")</f>
        <v>West</v>
      </c>
      <c r="C40" s="12" t="str">
        <f>IFERROR(__xludf.DUMMYFUNCTION("""COMPUTED_VALUE"""),"Keyboards")</f>
        <v>Keyboards</v>
      </c>
      <c r="D40" s="13">
        <f>IFERROR(__xludf.DUMMYFUNCTION("""COMPUTED_VALUE"""),79.0)</f>
        <v>79</v>
      </c>
      <c r="E40" s="13">
        <f>IFERROR(__xludf.DUMMYFUNCTION("""COMPUTED_VALUE"""),395000.0)</f>
        <v>395000</v>
      </c>
      <c r="F40" s="13">
        <f>IFERROR(__xludf.DUMMYFUNCTION("""COMPUTED_VALUE"""),5000.0)</f>
        <v>5000</v>
      </c>
      <c r="G40" s="13">
        <f>IFERROR(__xludf.DUMMYFUNCTION("""COMPUTED_VALUE"""),118500.0)</f>
        <v>118500</v>
      </c>
    </row>
    <row r="41">
      <c r="A41" s="12" t="str">
        <f>IFERROR(__xludf.DUMMYFUNCTION("""COMPUTED_VALUE"""),"Shantanu Joshi")</f>
        <v>Shantanu Joshi</v>
      </c>
      <c r="B41" s="12" t="str">
        <f>IFERROR(__xludf.DUMMYFUNCTION("""COMPUTED_VALUE"""),"West")</f>
        <v>West</v>
      </c>
      <c r="C41" s="12" t="str">
        <f>IFERROR(__xludf.DUMMYFUNCTION("""COMPUTED_VALUE"""),"Cameras")</f>
        <v>Cameras</v>
      </c>
      <c r="D41" s="13">
        <f>IFERROR(__xludf.DUMMYFUNCTION("""COMPUTED_VALUE"""),126.0)</f>
        <v>126</v>
      </c>
      <c r="E41" s="13">
        <f>IFERROR(__xludf.DUMMYFUNCTION("""COMPUTED_VALUE"""),378000.0)</f>
        <v>378000</v>
      </c>
      <c r="F41" s="13">
        <f>IFERROR(__xludf.DUMMYFUNCTION("""COMPUTED_VALUE"""),3000.0)</f>
        <v>3000</v>
      </c>
      <c r="G41" s="13">
        <f>IFERROR(__xludf.DUMMYFUNCTION("""COMPUTED_VALUE"""),113400.0)</f>
        <v>113400</v>
      </c>
    </row>
    <row r="42">
      <c r="A42" s="12" t="str">
        <f>IFERROR(__xludf.DUMMYFUNCTION("""COMPUTED_VALUE"""),"Kanika Khurana")</f>
        <v>Kanika Khurana</v>
      </c>
      <c r="B42" s="12" t="str">
        <f>IFERROR(__xludf.DUMMYFUNCTION("""COMPUTED_VALUE"""),"West")</f>
        <v>West</v>
      </c>
      <c r="C42" s="12" t="str">
        <f>IFERROR(__xludf.DUMMYFUNCTION("""COMPUTED_VALUE"""),"Cameras")</f>
        <v>Cameras</v>
      </c>
      <c r="D42" s="13">
        <f>IFERROR(__xludf.DUMMYFUNCTION("""COMPUTED_VALUE"""),109.0)</f>
        <v>109</v>
      </c>
      <c r="E42" s="13">
        <f>IFERROR(__xludf.DUMMYFUNCTION("""COMPUTED_VALUE"""),327000.0)</f>
        <v>327000</v>
      </c>
      <c r="F42" s="13">
        <f>IFERROR(__xludf.DUMMYFUNCTION("""COMPUTED_VALUE"""),3000.0)</f>
        <v>3000</v>
      </c>
      <c r="G42" s="13">
        <f>IFERROR(__xludf.DUMMYFUNCTION("""COMPUTED_VALUE"""),98100.0)</f>
        <v>98100</v>
      </c>
    </row>
    <row r="43">
      <c r="A43" s="12" t="str">
        <f>IFERROR(__xludf.DUMMYFUNCTION("""COMPUTED_VALUE"""),"Kunal Suri")</f>
        <v>Kunal Suri</v>
      </c>
      <c r="B43" s="12" t="str">
        <f>IFERROR(__xludf.DUMMYFUNCTION("""COMPUTED_VALUE"""),"West")</f>
        <v>West</v>
      </c>
      <c r="C43" s="12" t="str">
        <f>IFERROR(__xludf.DUMMYFUNCTION("""COMPUTED_VALUE"""),"Cameras")</f>
        <v>Cameras</v>
      </c>
      <c r="D43" s="13">
        <f>IFERROR(__xludf.DUMMYFUNCTION("""COMPUTED_VALUE"""),87.0)</f>
        <v>87</v>
      </c>
      <c r="E43" s="13">
        <f>IFERROR(__xludf.DUMMYFUNCTION("""COMPUTED_VALUE"""),261000.0)</f>
        <v>261000</v>
      </c>
      <c r="F43" s="13">
        <f>IFERROR(__xludf.DUMMYFUNCTION("""COMPUTED_VALUE"""),3000.0)</f>
        <v>3000</v>
      </c>
      <c r="G43" s="13">
        <f>IFERROR(__xludf.DUMMYFUNCTION("""COMPUTED_VALUE"""),78300.0)</f>
        <v>78300</v>
      </c>
    </row>
    <row r="44">
      <c r="A44" s="12" t="str">
        <f>IFERROR(__xludf.DUMMYFUNCTION("""COMPUTED_VALUE"""),"Aisha Malhotra")</f>
        <v>Aisha Malhotra</v>
      </c>
      <c r="B44" s="12" t="str">
        <f>IFERROR(__xludf.DUMMYFUNCTION("""COMPUTED_VALUE"""),"West")</f>
        <v>West</v>
      </c>
      <c r="C44" s="12" t="str">
        <f>IFERROR(__xludf.DUMMYFUNCTION("""COMPUTED_VALUE"""),"Printers")</f>
        <v>Printers</v>
      </c>
      <c r="D44" s="13">
        <f>IFERROR(__xludf.DUMMYFUNCTION("""COMPUTED_VALUE"""),21.0)</f>
        <v>21</v>
      </c>
      <c r="E44" s="13">
        <f>IFERROR(__xludf.DUMMYFUNCTION("""COMPUTED_VALUE"""),210000.0)</f>
        <v>210000</v>
      </c>
      <c r="F44" s="13">
        <f>IFERROR(__xludf.DUMMYFUNCTION("""COMPUTED_VALUE"""),10000.0)</f>
        <v>10000</v>
      </c>
      <c r="G44" s="13">
        <f>IFERROR(__xludf.DUMMYFUNCTION("""COMPUTED_VALUE"""),63000.0)</f>
        <v>63000</v>
      </c>
    </row>
    <row r="45">
      <c r="A45" s="12" t="str">
        <f>IFERROR(__xludf.DUMMYFUNCTION("""COMPUTED_VALUE"""),"Yashika Chabra")</f>
        <v>Yashika Chabra</v>
      </c>
      <c r="B45" s="12" t="str">
        <f>IFERROR(__xludf.DUMMYFUNCTION("""COMPUTED_VALUE"""),"West")</f>
        <v>West</v>
      </c>
      <c r="C45" s="12" t="str">
        <f>IFERROR(__xludf.DUMMYFUNCTION("""COMPUTED_VALUE"""),"Keyboards")</f>
        <v>Keyboards</v>
      </c>
      <c r="D45" s="13">
        <f>IFERROR(__xludf.DUMMYFUNCTION("""COMPUTED_VALUE"""),38.0)</f>
        <v>38</v>
      </c>
      <c r="E45" s="13">
        <f>IFERROR(__xludf.DUMMYFUNCTION("""COMPUTED_VALUE"""),190000.0)</f>
        <v>190000</v>
      </c>
      <c r="F45" s="13">
        <f>IFERROR(__xludf.DUMMYFUNCTION("""COMPUTED_VALUE"""),5000.0)</f>
        <v>5000</v>
      </c>
      <c r="G45" s="13">
        <f>IFERROR(__xludf.DUMMYFUNCTION("""COMPUTED_VALUE"""),57000.0)</f>
        <v>57000</v>
      </c>
    </row>
    <row r="46">
      <c r="A46" s="12" t="str">
        <f>IFERROR(__xludf.DUMMYFUNCTION("""COMPUTED_VALUE"""),"Harsh Vashisht")</f>
        <v>Harsh Vashisht</v>
      </c>
      <c r="B46" s="12" t="str">
        <f>IFERROR(__xludf.DUMMYFUNCTION("""COMPUTED_VALUE"""),"West")</f>
        <v>West</v>
      </c>
      <c r="C46" s="12" t="str">
        <f>IFERROR(__xludf.DUMMYFUNCTION("""COMPUTED_VALUE"""),"Cameras")</f>
        <v>Cameras</v>
      </c>
      <c r="D46" s="13">
        <f>IFERROR(__xludf.DUMMYFUNCTION("""COMPUTED_VALUE"""),44.0)</f>
        <v>44</v>
      </c>
      <c r="E46" s="13">
        <f>IFERROR(__xludf.DUMMYFUNCTION("""COMPUTED_VALUE"""),132000.0)</f>
        <v>132000</v>
      </c>
      <c r="F46" s="13">
        <f>IFERROR(__xludf.DUMMYFUNCTION("""COMPUTED_VALUE"""),3000.0)</f>
        <v>3000</v>
      </c>
      <c r="G46" s="13">
        <f>IFERROR(__xludf.DUMMYFUNCTION("""COMPUTED_VALUE"""),39600.0)</f>
        <v>39600</v>
      </c>
    </row>
    <row r="47">
      <c r="A47" s="12" t="str">
        <f>IFERROR(__xludf.DUMMYFUNCTION("""COMPUTED_VALUE"""),"Jatin Agrawal")</f>
        <v>Jatin Agrawal</v>
      </c>
      <c r="B47" s="12" t="str">
        <f>IFERROR(__xludf.DUMMYFUNCTION("""COMPUTED_VALUE"""),"West")</f>
        <v>West</v>
      </c>
      <c r="C47" s="12" t="str">
        <f>IFERROR(__xludf.DUMMYFUNCTION("""COMPUTED_VALUE"""),"Cameras")</f>
        <v>Cameras</v>
      </c>
      <c r="D47" s="13">
        <f>IFERROR(__xludf.DUMMYFUNCTION("""COMPUTED_VALUE"""),39.0)</f>
        <v>39</v>
      </c>
      <c r="E47" s="13">
        <f>IFERROR(__xludf.DUMMYFUNCTION("""COMPUTED_VALUE"""),117000.0)</f>
        <v>117000</v>
      </c>
      <c r="F47" s="13">
        <f>IFERROR(__xludf.DUMMYFUNCTION("""COMPUTED_VALUE"""),3000.0)</f>
        <v>3000</v>
      </c>
      <c r="G47" s="13">
        <f>IFERROR(__xludf.DUMMYFUNCTION("""COMPUTED_VALUE"""),35100.0)</f>
        <v>35100</v>
      </c>
    </row>
    <row r="48">
      <c r="A48" s="12" t="str">
        <f>IFERROR(__xludf.DUMMYFUNCTION("""COMPUTED_VALUE"""),"Tanisha Gupta")</f>
        <v>Tanisha Gupta</v>
      </c>
      <c r="B48" s="12" t="str">
        <f>IFERROR(__xludf.DUMMYFUNCTION("""COMPUTED_VALUE"""),"West")</f>
        <v>West</v>
      </c>
      <c r="C48" s="12" t="str">
        <f>IFERROR(__xludf.DUMMYFUNCTION("""COMPUTED_VALUE"""),"Cameras")</f>
        <v>Cameras</v>
      </c>
      <c r="D48" s="13">
        <f>IFERROR(__xludf.DUMMYFUNCTION("""COMPUTED_VALUE"""),37.0)</f>
        <v>37</v>
      </c>
      <c r="E48" s="13">
        <f>IFERROR(__xludf.DUMMYFUNCTION("""COMPUTED_VALUE"""),111000.0)</f>
        <v>111000</v>
      </c>
      <c r="F48" s="13">
        <f>IFERROR(__xludf.DUMMYFUNCTION("""COMPUTED_VALUE"""),3000.0)</f>
        <v>3000</v>
      </c>
      <c r="G48" s="13">
        <f>IFERROR(__xludf.DUMMYFUNCTION("""COMPUTED_VALUE"""),33300.0)</f>
        <v>33300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8" t="s">
        <v>122</v>
      </c>
      <c r="D1" s="8" t="s">
        <v>123</v>
      </c>
      <c r="G1" s="8" t="s">
        <v>124</v>
      </c>
    </row>
    <row r="2">
      <c r="A2" s="1" t="s">
        <v>0</v>
      </c>
      <c r="B2" s="3" t="s">
        <v>6</v>
      </c>
      <c r="D2" s="1" t="s">
        <v>0</v>
      </c>
      <c r="E2" s="3" t="s">
        <v>3</v>
      </c>
      <c r="G2" s="1" t="s">
        <v>0</v>
      </c>
      <c r="H2" s="2" t="s">
        <v>1</v>
      </c>
      <c r="I2" s="3" t="s">
        <v>4</v>
      </c>
    </row>
    <row r="3">
      <c r="A3" s="12" t="str">
        <f t="array" ref="A3:A7">SORT('Sales Data'!A2:G99,5,FALSE)</f>
        <v>Devika Khanna</v>
      </c>
      <c r="B3" s="13">
        <f>VLOOKUP(A3,'Sales Data'!A$2:G$99,7,FALSE)</f>
        <v>588000</v>
      </c>
      <c r="D3" s="12" t="str">
        <f t="array" ref="D3:D7">SORT('Sales Data'!A2:G99,4,FALSE)</f>
        <v>Devika Khanna</v>
      </c>
      <c r="E3" s="13">
        <f>Vlookup(D3,'Sales Data'!A$2:D$99,4,FALSE)</f>
        <v>196</v>
      </c>
      <c r="G3" s="12" t="str">
        <f>IFERROR(__xludf.DUMMYFUNCTION("ARRAY_CONSTRAIN(SORT(FILTER('Sales Data'!A2:G99,'Sales Data'!B2:B99=""South""),5,FALSE),5,2)"),"Aniket Mehta")</f>
        <v>Aniket Mehta</v>
      </c>
      <c r="H3" s="12" t="str">
        <f>IFERROR(__xludf.DUMMYFUNCTION("""COMPUTED_VALUE"""),"South")</f>
        <v>South</v>
      </c>
      <c r="I3" s="13">
        <f>VLOOKUP(G3,'Sales Data'!A$2:E$99,5,FALSE)</f>
        <v>1800000</v>
      </c>
    </row>
    <row r="4">
      <c r="A4" s="12" t="s">
        <v>41</v>
      </c>
      <c r="B4" s="13">
        <f>VLOOKUP(A4,'Sales Data'!A$2:G$99,7,FALSE)</f>
        <v>579000</v>
      </c>
      <c r="D4" s="12" t="s">
        <v>106</v>
      </c>
      <c r="E4" s="13">
        <f>Vlookup(D4,'Sales Data'!A$2:D$99,4,FALSE)</f>
        <v>196</v>
      </c>
      <c r="G4" s="12" t="str">
        <f>IFERROR(__xludf.DUMMYFUNCTION("""COMPUTED_VALUE"""),"Aditi Kapoor")</f>
        <v>Aditi Kapoor</v>
      </c>
      <c r="H4" s="12" t="str">
        <f>IFERROR(__xludf.DUMMYFUNCTION("""COMPUTED_VALUE"""),"South")</f>
        <v>South</v>
      </c>
      <c r="I4" s="13">
        <f>VLOOKUP(G4,'Sales Data'!A$2:E$99,5,FALSE)</f>
        <v>1387500</v>
      </c>
    </row>
    <row r="5">
      <c r="A5" s="12" t="s">
        <v>38</v>
      </c>
      <c r="B5" s="13">
        <f>VLOOKUP(A5,'Sales Data'!A$2:G$99,7,FALSE)</f>
        <v>573000</v>
      </c>
      <c r="D5" s="12" t="s">
        <v>41</v>
      </c>
      <c r="E5" s="13">
        <f>Vlookup(D5,'Sales Data'!A$2:D$99,4,FALSE)</f>
        <v>193</v>
      </c>
      <c r="G5" s="12" t="str">
        <f>IFERROR(__xludf.DUMMYFUNCTION("""COMPUTED_VALUE"""),"Rashmi Rastogi")</f>
        <v>Rashmi Rastogi</v>
      </c>
      <c r="H5" s="12" t="str">
        <f>IFERROR(__xludf.DUMMYFUNCTION("""COMPUTED_VALUE"""),"South")</f>
        <v>South</v>
      </c>
      <c r="I5" s="13">
        <f>VLOOKUP(G5,'Sales Data'!A$2:E$99,5,FALSE)</f>
        <v>1220000</v>
      </c>
    </row>
    <row r="6">
      <c r="A6" s="12" t="s">
        <v>17</v>
      </c>
      <c r="B6" s="13">
        <f>VLOOKUP(A6,'Sales Data'!A$2:G$99,7,FALSE)</f>
        <v>540000</v>
      </c>
      <c r="D6" s="12" t="s">
        <v>38</v>
      </c>
      <c r="E6" s="13">
        <f>Vlookup(D6,'Sales Data'!A$2:D$99,4,FALSE)</f>
        <v>191</v>
      </c>
      <c r="G6" s="12" t="str">
        <f>IFERROR(__xludf.DUMMYFUNCTION("""COMPUTED_VALUE"""),"Shreya Bajaj")</f>
        <v>Shreya Bajaj</v>
      </c>
      <c r="H6" s="12" t="str">
        <f>IFERROR(__xludf.DUMMYFUNCTION("""COMPUTED_VALUE"""),"South")</f>
        <v>South</v>
      </c>
      <c r="I6" s="13">
        <f>VLOOKUP(G6,'Sales Data'!A$2:E$99,5,FALSE)</f>
        <v>1180000</v>
      </c>
    </row>
    <row r="7">
      <c r="A7" s="12" t="s">
        <v>30</v>
      </c>
      <c r="B7" s="13">
        <f>VLOOKUP(A7,'Sales Data'!A$2:G$99,7,FALSE)</f>
        <v>492000</v>
      </c>
      <c r="D7" s="12" t="s">
        <v>48</v>
      </c>
      <c r="E7" s="13">
        <f>Vlookup(D7,'Sales Data'!A$2:D$99,4,FALSE)</f>
        <v>190</v>
      </c>
      <c r="G7" s="12" t="str">
        <f>IFERROR(__xludf.DUMMYFUNCTION("""COMPUTED_VALUE"""),"Shruti Sharma")</f>
        <v>Shruti Sharma</v>
      </c>
      <c r="H7" s="12" t="str">
        <f>IFERROR(__xludf.DUMMYFUNCTION("""COMPUTED_VALUE"""),"South")</f>
        <v>South</v>
      </c>
      <c r="I7" s="13">
        <f>VLOOKUP(G7,'Sales Data'!A$2:E$99,5,FALSE)</f>
        <v>1170000</v>
      </c>
    </row>
    <row r="9">
      <c r="A9" s="8" t="s">
        <v>125</v>
      </c>
      <c r="E9" s="8" t="s">
        <v>126</v>
      </c>
    </row>
    <row r="10">
      <c r="A10" s="1" t="s">
        <v>0</v>
      </c>
      <c r="B10" s="2" t="s">
        <v>2</v>
      </c>
      <c r="C10" s="3" t="s">
        <v>3</v>
      </c>
      <c r="E10" s="1" t="s">
        <v>0</v>
      </c>
      <c r="F10" s="2" t="s">
        <v>2</v>
      </c>
      <c r="G10" s="3" t="s">
        <v>6</v>
      </c>
    </row>
    <row r="11">
      <c r="A11" s="12" t="str">
        <f>IFERROR(__xludf.DUMMYFUNCTION("ARRAY_CONSTRAIN(SORT(FILTER('Sales Data'!A2:G99,'Sales Data'!B2:B99=""East"",'Sales Data'!C2:C99=""Cameras""),4,FALSE),5,1)"),"Alia Mehrotra")</f>
        <v>Alia Mehrotra</v>
      </c>
      <c r="B11" s="12" t="str">
        <f>VLOOKUP(A11,'Sales Data'!A2:C99,3,FALSE)</f>
        <v>Cameras</v>
      </c>
      <c r="C11" s="13">
        <f>VLOOKUP(A11,'Sales Data'!A$2:D$99,4,FALSE)</f>
        <v>181</v>
      </c>
      <c r="E11" s="12" t="str">
        <f>IFERROR(__xludf.DUMMYFUNCTION("ARRAY_CONSTRAIN(SORT(FILTER('Sales Data'!A2:G99,'Sales Data'!C2:C99=""Printers"",'Sales Data'!B2:B99=""East""),5,FALSE),5,1)"),"Sohan Kapoor")</f>
        <v>Sohan Kapoor</v>
      </c>
      <c r="F11" s="12" t="str">
        <f>VLOOKUP(E11,'Sales Data'!A2:C99,3,FALSE)</f>
        <v>Printers</v>
      </c>
      <c r="G11" s="13">
        <f>VLOOKUP(E11,'Sales Data'!A2:G99,7,FALSE)</f>
        <v>339000</v>
      </c>
    </row>
    <row r="12">
      <c r="A12" s="12" t="str">
        <f>IFERROR(__xludf.DUMMYFUNCTION("""COMPUTED_VALUE"""),"Lakshay Aggarwal")</f>
        <v>Lakshay Aggarwal</v>
      </c>
      <c r="B12" s="12" t="str">
        <f>VLOOKUP(A12,'Sales Data'!A3:C100,3,FALSE)</f>
        <v>Cameras</v>
      </c>
      <c r="C12" s="13">
        <f>VLOOKUP(A12,'Sales Data'!A$2:D$99,4,FALSE)</f>
        <v>163</v>
      </c>
      <c r="E12" s="12" t="str">
        <f>IFERROR(__xludf.DUMMYFUNCTION("""COMPUTED_VALUE"""),"Deepak Reddy")</f>
        <v>Deepak Reddy</v>
      </c>
      <c r="F12" s="12" t="str">
        <f>VLOOKUP(E12,'Sales Data'!A3:C100,3,FALSE)</f>
        <v>Printers</v>
      </c>
      <c r="G12" s="13">
        <f>VLOOKUP(E12,'Sales Data'!A3:G100,7,FALSE)</f>
        <v>335250</v>
      </c>
    </row>
    <row r="13">
      <c r="A13" s="12" t="str">
        <f>IFERROR(__xludf.DUMMYFUNCTION("""COMPUTED_VALUE"""),"Tanvi Rastogi")</f>
        <v>Tanvi Rastogi</v>
      </c>
      <c r="B13" s="12" t="str">
        <f>VLOOKUP(A13,'Sales Data'!A4:C101,3,FALSE)</f>
        <v>Cameras</v>
      </c>
      <c r="C13" s="13">
        <f>VLOOKUP(A13,'Sales Data'!A$2:D$99,4,FALSE)</f>
        <v>158</v>
      </c>
      <c r="E13" s="12" t="str">
        <f>IFERROR(__xludf.DUMMYFUNCTION("""COMPUTED_VALUE"""),"Pankaj Kumar")</f>
        <v>Pankaj Kumar</v>
      </c>
      <c r="F13" s="12" t="str">
        <f>VLOOKUP(E13,'Sales Data'!A4:C101,3,FALSE)</f>
        <v>Printers</v>
      </c>
      <c r="G13" s="13">
        <f>VLOOKUP(E13,'Sales Data'!A4:G101,7,FALSE)</f>
        <v>330000</v>
      </c>
    </row>
    <row r="14">
      <c r="A14" s="12" t="str">
        <f>IFERROR(__xludf.DUMMYFUNCTION("""COMPUTED_VALUE"""),"Rahul Yadav")</f>
        <v>Rahul Yadav</v>
      </c>
      <c r="B14" s="12" t="str">
        <f>VLOOKUP(A14,'Sales Data'!A5:C102,3,FALSE)</f>
        <v>Cameras</v>
      </c>
      <c r="C14" s="13">
        <f>VLOOKUP(A14,'Sales Data'!A$2:D$99,4,FALSE)</f>
        <v>130</v>
      </c>
      <c r="E14" s="12" t="str">
        <f>IFERROR(__xludf.DUMMYFUNCTION("""COMPUTED_VALUE"""),"Vaishnavi Iyengar")</f>
        <v>Vaishnavi Iyengar</v>
      </c>
      <c r="F14" s="12" t="str">
        <f>VLOOKUP(E14,'Sales Data'!A5:C102,3,FALSE)</f>
        <v>Printers</v>
      </c>
      <c r="G14" s="13">
        <f>VLOOKUP(E14,'Sales Data'!A5:G102,7,FALSE)</f>
        <v>255000</v>
      </c>
    </row>
    <row r="15">
      <c r="A15" s="12" t="str">
        <f>IFERROR(__xludf.DUMMYFUNCTION("""COMPUTED_VALUE"""),"Nisha Malik")</f>
        <v>Nisha Malik</v>
      </c>
      <c r="B15" s="12" t="str">
        <f>VLOOKUP(A15,'Sales Data'!A6:C103,3,FALSE)</f>
        <v>Cameras</v>
      </c>
      <c r="C15" s="13">
        <f>VLOOKUP(A15,'Sales Data'!A$2:D$99,4,FALSE)</f>
        <v>98</v>
      </c>
      <c r="E15" s="12" t="str">
        <f>IFERROR(__xludf.DUMMYFUNCTION("""COMPUTED_VALUE"""),"Kavya Trivedi")</f>
        <v>Kavya Trivedi</v>
      </c>
      <c r="F15" s="12" t="str">
        <f>VLOOKUP(E15,'Sales Data'!A6:C103,3,FALSE)</f>
        <v>Printers</v>
      </c>
      <c r="G15" s="13">
        <f>VLOOKUP(E15,'Sales Data'!A6:G103,7,FALSE)</f>
        <v>228000</v>
      </c>
    </row>
  </sheetData>
  <drawing r:id="rId1"/>
</worksheet>
</file>