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- Data" sheetId="1" r:id="rId4"/>
    <sheet state="visible" name="Task 2- Questions" sheetId="2" r:id="rId5"/>
    <sheet state="visible" name="Task 3- Questions" sheetId="3" r:id="rId6"/>
  </sheets>
  <definedNames/>
  <calcPr/>
</workbook>
</file>

<file path=xl/sharedStrings.xml><?xml version="1.0" encoding="utf-8"?>
<sst xmlns="http://schemas.openxmlformats.org/spreadsheetml/2006/main" count="233" uniqueCount="126">
  <si>
    <t>Name of Resident</t>
  </si>
  <si>
    <t>Income Source</t>
  </si>
  <si>
    <t>Income Amount</t>
  </si>
  <si>
    <t>Deduction %</t>
  </si>
  <si>
    <t>Taxable Amount</t>
  </si>
  <si>
    <t>Applicable for Surcharge</t>
  </si>
  <si>
    <t>Aarav</t>
  </si>
  <si>
    <t>Business</t>
  </si>
  <si>
    <t>Ananya</t>
  </si>
  <si>
    <t>Capital Gains</t>
  </si>
  <si>
    <t>Arjun</t>
  </si>
  <si>
    <t>Other Income</t>
  </si>
  <si>
    <t>Bhavya</t>
  </si>
  <si>
    <t>Salary</t>
  </si>
  <si>
    <t>Chetan</t>
  </si>
  <si>
    <t>Deepika</t>
  </si>
  <si>
    <t>Dhruv</t>
  </si>
  <si>
    <t>House Property</t>
  </si>
  <si>
    <t>Esha</t>
  </si>
  <si>
    <t>Farhan</t>
  </si>
  <si>
    <t>Gauri</t>
  </si>
  <si>
    <t>Harsh</t>
  </si>
  <si>
    <t>Ishaan</t>
  </si>
  <si>
    <t>Jaya</t>
  </si>
  <si>
    <t>Kabir</t>
  </si>
  <si>
    <t>Kavita</t>
  </si>
  <si>
    <t>Lakshya</t>
  </si>
  <si>
    <t>Meera</t>
  </si>
  <si>
    <t>Naveen</t>
  </si>
  <si>
    <t>Neha</t>
  </si>
  <si>
    <t>Omkar</t>
  </si>
  <si>
    <t>Pooja</t>
  </si>
  <si>
    <t>Rahul</t>
  </si>
  <si>
    <t>Ritu</t>
  </si>
  <si>
    <t>Sanjay</t>
  </si>
  <si>
    <t>Sneha</t>
  </si>
  <si>
    <t>Tarun</t>
  </si>
  <si>
    <t>Urvashi</t>
  </si>
  <si>
    <t>Varun</t>
  </si>
  <si>
    <t>Yash</t>
  </si>
  <si>
    <t>Zara</t>
  </si>
  <si>
    <t>Aditya</t>
  </si>
  <si>
    <t>Anika</t>
  </si>
  <si>
    <t>Akshay</t>
  </si>
  <si>
    <t>Barkha</t>
  </si>
  <si>
    <t>Chirag</t>
  </si>
  <si>
    <t>Diya</t>
  </si>
  <si>
    <t>Eklavya</t>
  </si>
  <si>
    <t>Fiza</t>
  </si>
  <si>
    <t>Ganesh</t>
  </si>
  <si>
    <t>Hina</t>
  </si>
  <si>
    <t>Q1- Bring a list of all the names that have have taxable income more than Rs. 9,000,000.</t>
  </si>
  <si>
    <t xml:space="preserve">Answer- </t>
  </si>
  <si>
    <t>Q2- What is the total taxable amount of all residents whose source of income is business?</t>
  </si>
  <si>
    <t>Q3- What is the average taxable income of all residents whose source of income is capital gains?</t>
  </si>
  <si>
    <t>Q4- What is the minimum income of a resident with salary as their income source and not subject to surcharge?</t>
  </si>
  <si>
    <t>Q-5 Name the residents whose income is greater than or equal to Rs. 5,000,000 from House Property.</t>
  </si>
  <si>
    <t>Q6- How many individuals have a deduction percentage higher than 8% and have income from "Other income"?</t>
  </si>
  <si>
    <t xml:space="preserve">Q7- What is the sum of maximum taxable amount from business and maximum taxable amount from capital gains? </t>
  </si>
  <si>
    <t>Q8- Name the resident whose total income is greater than Rs.8,000,000 and deduction % on income is greater than 12%.</t>
  </si>
  <si>
    <t>Q9- How many residents have deductions exceeding 10% in salary?</t>
  </si>
  <si>
    <t>Q10- Calculate the total taxable amount of the listed income source.</t>
  </si>
  <si>
    <t>Total Taxable Amount</t>
  </si>
  <si>
    <t>Q11- What is the total income of residents with a business income source that is not subject to surcharge?</t>
  </si>
  <si>
    <t>Q12- What is the highest deduction percentage offered to residents with a salary as their income source?</t>
  </si>
  <si>
    <t>Q13- What is the minimum deduction percentage offered to residents with a house property as their income source?</t>
  </si>
  <si>
    <t>Q14- Name the residents whose taxable amount is below Rs. 6,000,000 and are subject to a surcharge.</t>
  </si>
  <si>
    <t>Q15- Count the number of residents for whom a surcharge is applicable and whose income source is Business.</t>
  </si>
  <si>
    <t>Q-16 What is the average deduction percentage for residents with income sources from "Salary" and whose income amount is more than Rs. 5,403,641?</t>
  </si>
  <si>
    <t>Q17- What is the maximum taxable amount of residents who are applicable to surcharge with a deduction percentage lower than 3%?</t>
  </si>
  <si>
    <t>Q18- What is the average income amount of residents whose deduction percentage is less than 12% and are applicable to surcharge?</t>
  </si>
  <si>
    <t>Q19- What is the minimum deduction percentage among residents whose deduction percentage exceeds 5%?</t>
  </si>
  <si>
    <t>Q1- Bring a list of all the people who have the maximum deduction as well as have taxable amount above 3,000,000.</t>
  </si>
  <si>
    <t>Use nested filter and maxifs function to answer this question.</t>
  </si>
  <si>
    <t>Answer-</t>
  </si>
  <si>
    <t>Q2- Name the person who has lowest taxable amount.</t>
  </si>
  <si>
    <t>Use nested filter and min fuctions.</t>
  </si>
  <si>
    <t>Q3- Name the income source where the taxable amount is the highest among categories subject to surcharge.</t>
  </si>
  <si>
    <t>Use nested filter and maxifs functions.</t>
  </si>
  <si>
    <t>Q4- Find out the surcharge charged for the following list of people.</t>
  </si>
  <si>
    <t>If surcharge is applicable on the person then:</t>
  </si>
  <si>
    <t>Taxable Income &gt;=</t>
  </si>
  <si>
    <t>Surcharge is 10% on taxable amount</t>
  </si>
  <si>
    <t>Surcharge is 7.5% on taxable amount</t>
  </si>
  <si>
    <t>Taxable Income &lt;</t>
  </si>
  <si>
    <t>Surcharge is 5% on taxable amount</t>
  </si>
  <si>
    <t>If surcharge is not applicable on the person then "-"</t>
  </si>
  <si>
    <t>Surcharge Amount</t>
  </si>
  <si>
    <t>Q5- Categorize the residents' income as either "High Income", "Medium Income" or "Low Income".</t>
  </si>
  <si>
    <t>If the income of the residents is greater than or equal to Rs. 8,000,000 then it is "High Income".</t>
  </si>
  <si>
    <t>If the income of the residents is greater than or equal to Rs. 7,000,000 then it is "Medium Income" else "Low Income".</t>
  </si>
  <si>
    <t>Use Vlookup and nested If to fill the below table</t>
  </si>
  <si>
    <t>Category</t>
  </si>
  <si>
    <t>Q6- Write the names of the residents whose deduction % is the highest in House Property income.</t>
  </si>
  <si>
    <t>Use filter and maxifs functions.</t>
  </si>
  <si>
    <t>Q7- Find the listed individuals who have taken "High", "Medium", or "Low" deductions.</t>
  </si>
  <si>
    <t>If deduction % is greater than or equal to 16% then add statement "has taken high deduction"</t>
  </si>
  <si>
    <t>If deduction % is greater than or equal to 10% then add statement "has taken medium deduction"</t>
  </si>
  <si>
    <t>If deduction % is greater than 0% then add statement "has taken low deduction" else "has not taken any deduction"</t>
  </si>
  <si>
    <t>Complete the below table by using nested if function.</t>
  </si>
  <si>
    <t>Deduction Classification</t>
  </si>
  <si>
    <t>Q8- Calculate the average deduction percentage of the individual whose has income source of "Other Income" and who have the maximum taxable amount.</t>
  </si>
  <si>
    <t>Use nested averageifs and maxifs functions to solve this question.</t>
  </si>
  <si>
    <t>Q9- Find out the lowest 3 taxable amounts.</t>
  </si>
  <si>
    <t>Use array_constrain and sort functions.</t>
  </si>
  <si>
    <t>Q10- Name the individuals whose income crosses Rs. 7,000,000 from House Property and then sort them based on their income amounts in descending order.</t>
  </si>
  <si>
    <t>Q11- Calculate the average taxable amount of individuals whose income is the highest among those with a deduction percentage of 3.53%.</t>
  </si>
  <si>
    <t>Use nested Averageifs and Maxifs to solve this question.</t>
  </si>
  <si>
    <t>Q12- Find out the name, income source, income amount, deduction% and taxable amount of the top 3 individuals whose Taxable income is greater than 8,000,000 and sort the data of taxable amount in descending order.</t>
  </si>
  <si>
    <t>Use array_constrain, sort and filter function.</t>
  </si>
  <si>
    <t>Q13- Find out the name, income source, income amount, deduction% and taxable amount of the bottom 3 individuals whose Taxable income is greater than 8,000,000 and sort the data of taxable amount in ascending order.</t>
  </si>
  <si>
    <t>Use array constrain, sort and filter function.</t>
  </si>
  <si>
    <t>Q14- Categorize listed residents into "Upper Class", "Middle Class" and "Lower Class" on the basis of following conditions.</t>
  </si>
  <si>
    <t>Taxable amount&gt;=</t>
  </si>
  <si>
    <t>Upper Class</t>
  </si>
  <si>
    <t>Middle Class</t>
  </si>
  <si>
    <t>Taxable amount&lt;</t>
  </si>
  <si>
    <t>Lower Class</t>
  </si>
  <si>
    <t>Use vlookup and nested if function to solve the below table.</t>
  </si>
  <si>
    <t>Class Category</t>
  </si>
  <si>
    <t>Q15- Count the number of residents who have taken the highest deduction percentage salary in the income source.</t>
  </si>
  <si>
    <t>Use nested Countifs and Maxifs to solve this question.</t>
  </si>
  <si>
    <t xml:space="preserve">Q16- Count the number of residents who have taken the lowest deduction percentage in the capital gains income source. </t>
  </si>
  <si>
    <t>Use nested Countifs and Minifs to solve this question.</t>
  </si>
  <si>
    <t>Q17- If the taxable amount of the listed income source equals the highest taxable amount across all income sources, it's labeled "This category generates most tax"; else, it's marked as "-".</t>
  </si>
  <si>
    <t>Use sumifs and nested if and max function to solve the below 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</si>
</sst>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3" xfId="0" applyFont="1" applyNumberFormat="1"/>
    <xf borderId="0" fillId="3" fontId="2" numFmtId="10" xfId="0" applyAlignment="1" applyFont="1" applyNumberFormat="1">
      <alignment readingOrder="0"/>
    </xf>
    <xf borderId="0" fillId="0" fontId="2" numFmtId="0" xfId="0" applyFont="1"/>
    <xf borderId="0" fillId="3" fontId="2" numFmtId="10" xfId="0" applyFont="1" applyNumberFormat="1"/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2" numFmtId="3" xfId="0" applyFont="1" applyNumberFormat="1"/>
    <xf borderId="0" fillId="4" fontId="2" numFmtId="10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2" numFmtId="10" xfId="0" applyBorder="1" applyFont="1" applyNumberFormat="1"/>
    <xf borderId="1" fillId="0" fontId="2" numFmtId="3" xfId="0" applyBorder="1" applyFont="1" applyNumberForma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13.63"/>
    <col customWidth="1" min="4" max="4" width="14.75"/>
    <col customWidth="1" min="5" max="5" width="13.88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1995661.0</v>
      </c>
      <c r="D2" s="5">
        <v>0.0835</v>
      </c>
      <c r="E2" s="6">
        <f t="shared" ref="E2:E41" si="1">C2*(1-D2)</f>
        <v>1829023.307</v>
      </c>
      <c r="F2" s="6" t="str">
        <f t="shared" ref="F2:F41" si="2">IF(E2&gt;5000000,"Yes","No")</f>
        <v>No</v>
      </c>
    </row>
    <row r="3">
      <c r="A3" s="2" t="s">
        <v>8</v>
      </c>
      <c r="B3" s="3" t="s">
        <v>9</v>
      </c>
      <c r="C3" s="4">
        <v>5620825.0</v>
      </c>
      <c r="D3" s="5">
        <v>0.0</v>
      </c>
      <c r="E3" s="6">
        <f t="shared" si="1"/>
        <v>5620825</v>
      </c>
      <c r="F3" s="6" t="str">
        <f t="shared" si="2"/>
        <v>Yes</v>
      </c>
    </row>
    <row r="4">
      <c r="A4" s="2" t="s">
        <v>10</v>
      </c>
      <c r="B4" s="3" t="s">
        <v>11</v>
      </c>
      <c r="C4" s="4">
        <v>6243747.0</v>
      </c>
      <c r="D4" s="5">
        <v>0.0353</v>
      </c>
      <c r="E4" s="6">
        <f t="shared" si="1"/>
        <v>6023342.731</v>
      </c>
      <c r="F4" s="6" t="str">
        <f t="shared" si="2"/>
        <v>Yes</v>
      </c>
    </row>
    <row r="5">
      <c r="A5" s="2" t="s">
        <v>12</v>
      </c>
      <c r="B5" s="3" t="s">
        <v>13</v>
      </c>
      <c r="C5" s="4">
        <v>1099693.0</v>
      </c>
      <c r="D5" s="5">
        <v>0.156</v>
      </c>
      <c r="E5" s="6">
        <f t="shared" si="1"/>
        <v>928140.892</v>
      </c>
      <c r="F5" s="6" t="str">
        <f t="shared" si="2"/>
        <v>No</v>
      </c>
    </row>
    <row r="6">
      <c r="A6" s="2" t="s">
        <v>14</v>
      </c>
      <c r="B6" s="3" t="s">
        <v>13</v>
      </c>
      <c r="C6" s="4">
        <v>544698.0</v>
      </c>
      <c r="D6" s="5">
        <v>0.1724</v>
      </c>
      <c r="E6" s="6">
        <f t="shared" si="1"/>
        <v>450792.0648</v>
      </c>
      <c r="F6" s="6" t="str">
        <f t="shared" si="2"/>
        <v>No</v>
      </c>
    </row>
    <row r="7">
      <c r="A7" s="2" t="s">
        <v>15</v>
      </c>
      <c r="B7" s="3" t="s">
        <v>11</v>
      </c>
      <c r="C7" s="4">
        <v>657337.0</v>
      </c>
      <c r="D7" s="7">
        <v>0.0</v>
      </c>
      <c r="E7" s="6">
        <f t="shared" si="1"/>
        <v>657337</v>
      </c>
      <c r="F7" s="6" t="str">
        <f t="shared" si="2"/>
        <v>No</v>
      </c>
    </row>
    <row r="8">
      <c r="A8" s="2" t="s">
        <v>16</v>
      </c>
      <c r="B8" s="3" t="s">
        <v>17</v>
      </c>
      <c r="C8" s="4">
        <v>3140545.0</v>
      </c>
      <c r="D8" s="7">
        <v>0.0</v>
      </c>
      <c r="E8" s="6">
        <f t="shared" si="1"/>
        <v>3140545</v>
      </c>
      <c r="F8" s="6" t="str">
        <f t="shared" si="2"/>
        <v>No</v>
      </c>
    </row>
    <row r="9">
      <c r="A9" s="2" t="s">
        <v>18</v>
      </c>
      <c r="B9" s="3" t="s">
        <v>7</v>
      </c>
      <c r="C9" s="4">
        <v>4556690.0</v>
      </c>
      <c r="D9" s="7">
        <v>0.0</v>
      </c>
      <c r="E9" s="6">
        <f t="shared" si="1"/>
        <v>4556690</v>
      </c>
      <c r="F9" s="6" t="str">
        <f t="shared" si="2"/>
        <v>No</v>
      </c>
    </row>
    <row r="10">
      <c r="A10" s="2" t="s">
        <v>19</v>
      </c>
      <c r="B10" s="3" t="s">
        <v>11</v>
      </c>
      <c r="C10" s="4">
        <v>8857840.0</v>
      </c>
      <c r="D10" s="7">
        <v>0.0353</v>
      </c>
      <c r="E10" s="6">
        <f t="shared" si="1"/>
        <v>8545158.248</v>
      </c>
      <c r="F10" s="6" t="str">
        <f t="shared" si="2"/>
        <v>Yes</v>
      </c>
    </row>
    <row r="11">
      <c r="A11" s="2" t="s">
        <v>20</v>
      </c>
      <c r="B11" s="3" t="s">
        <v>17</v>
      </c>
      <c r="C11" s="4">
        <v>9408645.0</v>
      </c>
      <c r="D11" s="7">
        <v>0.0353</v>
      </c>
      <c r="E11" s="6">
        <f t="shared" si="1"/>
        <v>9076519.832</v>
      </c>
      <c r="F11" s="6" t="str">
        <f t="shared" si="2"/>
        <v>Yes</v>
      </c>
    </row>
    <row r="12">
      <c r="A12" s="2" t="s">
        <v>21</v>
      </c>
      <c r="B12" s="3" t="s">
        <v>7</v>
      </c>
      <c r="C12" s="4">
        <v>9359265.0</v>
      </c>
      <c r="D12" s="7">
        <v>0.156</v>
      </c>
      <c r="E12" s="6">
        <f t="shared" si="1"/>
        <v>7899219.66</v>
      </c>
      <c r="F12" s="6" t="str">
        <f t="shared" si="2"/>
        <v>Yes</v>
      </c>
    </row>
    <row r="13">
      <c r="A13" s="2" t="s">
        <v>22</v>
      </c>
      <c r="B13" s="3" t="s">
        <v>13</v>
      </c>
      <c r="C13" s="4">
        <v>6024292.0</v>
      </c>
      <c r="D13" s="7">
        <v>0.0353</v>
      </c>
      <c r="E13" s="6">
        <f t="shared" si="1"/>
        <v>5811634.492</v>
      </c>
      <c r="F13" s="6" t="str">
        <f t="shared" si="2"/>
        <v>Yes</v>
      </c>
    </row>
    <row r="14">
      <c r="A14" s="2" t="s">
        <v>23</v>
      </c>
      <c r="B14" s="3" t="s">
        <v>7</v>
      </c>
      <c r="C14" s="4">
        <v>9023509.0</v>
      </c>
      <c r="D14" s="7">
        <v>0.0353</v>
      </c>
      <c r="E14" s="6">
        <f t="shared" si="1"/>
        <v>8704979.132</v>
      </c>
      <c r="F14" s="6" t="str">
        <f t="shared" si="2"/>
        <v>Yes</v>
      </c>
    </row>
    <row r="15">
      <c r="A15" s="2" t="s">
        <v>24</v>
      </c>
      <c r="B15" s="3" t="s">
        <v>17</v>
      </c>
      <c r="C15" s="4">
        <v>8331027.0</v>
      </c>
      <c r="D15" s="7">
        <v>0.0353</v>
      </c>
      <c r="E15" s="6">
        <f t="shared" si="1"/>
        <v>8036941.747</v>
      </c>
      <c r="F15" s="6" t="str">
        <f t="shared" si="2"/>
        <v>Yes</v>
      </c>
    </row>
    <row r="16">
      <c r="A16" s="2" t="s">
        <v>25</v>
      </c>
      <c r="B16" s="3" t="s">
        <v>13</v>
      </c>
      <c r="C16" s="4">
        <v>9735478.0</v>
      </c>
      <c r="D16" s="7">
        <v>0.0</v>
      </c>
      <c r="E16" s="6">
        <f t="shared" si="1"/>
        <v>9735478</v>
      </c>
      <c r="F16" s="6" t="str">
        <f t="shared" si="2"/>
        <v>Yes</v>
      </c>
    </row>
    <row r="17">
      <c r="A17" s="2" t="s">
        <v>26</v>
      </c>
      <c r="B17" s="3" t="s">
        <v>13</v>
      </c>
      <c r="C17" s="4">
        <v>6869612.0</v>
      </c>
      <c r="D17" s="7">
        <v>0.1724</v>
      </c>
      <c r="E17" s="6">
        <f t="shared" si="1"/>
        <v>5685290.891</v>
      </c>
      <c r="F17" s="6" t="str">
        <f t="shared" si="2"/>
        <v>Yes</v>
      </c>
    </row>
    <row r="18">
      <c r="A18" s="2" t="s">
        <v>27</v>
      </c>
      <c r="B18" s="3" t="s">
        <v>13</v>
      </c>
      <c r="C18" s="4">
        <v>5804092.0</v>
      </c>
      <c r="D18" s="7">
        <v>0.0835</v>
      </c>
      <c r="E18" s="6">
        <f t="shared" si="1"/>
        <v>5319450.318</v>
      </c>
      <c r="F18" s="6" t="str">
        <f t="shared" si="2"/>
        <v>Yes</v>
      </c>
    </row>
    <row r="19">
      <c r="A19" s="2" t="s">
        <v>28</v>
      </c>
      <c r="B19" s="3" t="s">
        <v>7</v>
      </c>
      <c r="C19" s="4">
        <v>3777284.0</v>
      </c>
      <c r="D19" s="7">
        <v>0.0835</v>
      </c>
      <c r="E19" s="6">
        <f t="shared" si="1"/>
        <v>3461880.786</v>
      </c>
      <c r="F19" s="6" t="str">
        <f t="shared" si="2"/>
        <v>No</v>
      </c>
    </row>
    <row r="20">
      <c r="A20" s="2" t="s">
        <v>29</v>
      </c>
      <c r="B20" s="3" t="s">
        <v>13</v>
      </c>
      <c r="C20" s="4">
        <v>9604515.0</v>
      </c>
      <c r="D20" s="7">
        <v>0.0</v>
      </c>
      <c r="E20" s="6">
        <f t="shared" si="1"/>
        <v>9604515</v>
      </c>
      <c r="F20" s="6" t="str">
        <f t="shared" si="2"/>
        <v>Yes</v>
      </c>
    </row>
    <row r="21">
      <c r="A21" s="2" t="s">
        <v>30</v>
      </c>
      <c r="B21" s="3" t="s">
        <v>17</v>
      </c>
      <c r="C21" s="4">
        <v>649238.0</v>
      </c>
      <c r="D21" s="7">
        <v>0.0835</v>
      </c>
      <c r="E21" s="6">
        <f t="shared" si="1"/>
        <v>595026.627</v>
      </c>
      <c r="F21" s="6" t="str">
        <f t="shared" si="2"/>
        <v>No</v>
      </c>
    </row>
    <row r="22">
      <c r="A22" s="2" t="s">
        <v>31</v>
      </c>
      <c r="B22" s="3" t="s">
        <v>9</v>
      </c>
      <c r="C22" s="4">
        <v>2553142.0</v>
      </c>
      <c r="D22" s="7">
        <v>0.0353</v>
      </c>
      <c r="E22" s="6">
        <f t="shared" si="1"/>
        <v>2463016.087</v>
      </c>
      <c r="F22" s="6" t="str">
        <f t="shared" si="2"/>
        <v>No</v>
      </c>
    </row>
    <row r="23">
      <c r="A23" s="2" t="s">
        <v>32</v>
      </c>
      <c r="B23" s="3" t="s">
        <v>17</v>
      </c>
      <c r="C23" s="4">
        <v>7684571.0</v>
      </c>
      <c r="D23" s="7">
        <v>0.0</v>
      </c>
      <c r="E23" s="6">
        <f t="shared" si="1"/>
        <v>7684571</v>
      </c>
      <c r="F23" s="6" t="str">
        <f t="shared" si="2"/>
        <v>Yes</v>
      </c>
    </row>
    <row r="24">
      <c r="A24" s="2" t="s">
        <v>33</v>
      </c>
      <c r="B24" s="3" t="s">
        <v>11</v>
      </c>
      <c r="C24" s="4">
        <v>8077788.0</v>
      </c>
      <c r="D24" s="7">
        <v>0.0</v>
      </c>
      <c r="E24" s="6">
        <f t="shared" si="1"/>
        <v>8077788</v>
      </c>
      <c r="F24" s="6" t="str">
        <f t="shared" si="2"/>
        <v>Yes</v>
      </c>
    </row>
    <row r="25">
      <c r="A25" s="2" t="s">
        <v>34</v>
      </c>
      <c r="B25" s="3" t="s">
        <v>7</v>
      </c>
      <c r="C25" s="4">
        <v>9151202.0</v>
      </c>
      <c r="D25" s="7">
        <v>0.0835</v>
      </c>
      <c r="E25" s="6">
        <f t="shared" si="1"/>
        <v>8387076.633</v>
      </c>
      <c r="F25" s="6" t="str">
        <f t="shared" si="2"/>
        <v>Yes</v>
      </c>
    </row>
    <row r="26">
      <c r="A26" s="2" t="s">
        <v>35</v>
      </c>
      <c r="B26" s="3" t="s">
        <v>7</v>
      </c>
      <c r="C26" s="4">
        <v>2651540.0</v>
      </c>
      <c r="D26" s="7">
        <v>0.0835</v>
      </c>
      <c r="E26" s="6">
        <f t="shared" si="1"/>
        <v>2430136.41</v>
      </c>
      <c r="F26" s="6" t="str">
        <f t="shared" si="2"/>
        <v>No</v>
      </c>
    </row>
    <row r="27">
      <c r="A27" s="2" t="s">
        <v>36</v>
      </c>
      <c r="B27" s="3" t="s">
        <v>9</v>
      </c>
      <c r="C27" s="4">
        <v>8271578.0</v>
      </c>
      <c r="D27" s="7">
        <v>0.0</v>
      </c>
      <c r="E27" s="6">
        <f t="shared" si="1"/>
        <v>8271578</v>
      </c>
      <c r="F27" s="6" t="str">
        <f t="shared" si="2"/>
        <v>Yes</v>
      </c>
    </row>
    <row r="28">
      <c r="A28" s="2" t="s">
        <v>37</v>
      </c>
      <c r="B28" s="3" t="s">
        <v>13</v>
      </c>
      <c r="C28" s="4">
        <v>6499551.0</v>
      </c>
      <c r="D28" s="7">
        <v>0.0</v>
      </c>
      <c r="E28" s="6">
        <f t="shared" si="1"/>
        <v>6499551</v>
      </c>
      <c r="F28" s="6" t="str">
        <f t="shared" si="2"/>
        <v>Yes</v>
      </c>
    </row>
    <row r="29">
      <c r="A29" s="2" t="s">
        <v>38</v>
      </c>
      <c r="B29" s="3" t="s">
        <v>17</v>
      </c>
      <c r="C29" s="4">
        <v>2472052.0</v>
      </c>
      <c r="D29" s="7">
        <v>0.1724</v>
      </c>
      <c r="E29" s="6">
        <f t="shared" si="1"/>
        <v>2045870.235</v>
      </c>
      <c r="F29" s="6" t="str">
        <f t="shared" si="2"/>
        <v>No</v>
      </c>
    </row>
    <row r="30">
      <c r="A30" s="2" t="s">
        <v>39</v>
      </c>
      <c r="B30" s="3" t="s">
        <v>9</v>
      </c>
      <c r="C30" s="4">
        <v>2894508.0</v>
      </c>
      <c r="D30" s="7">
        <v>0.0</v>
      </c>
      <c r="E30" s="6">
        <f t="shared" si="1"/>
        <v>2894508</v>
      </c>
      <c r="F30" s="6" t="str">
        <f t="shared" si="2"/>
        <v>No</v>
      </c>
    </row>
    <row r="31">
      <c r="A31" s="2" t="s">
        <v>40</v>
      </c>
      <c r="B31" s="3" t="s">
        <v>11</v>
      </c>
      <c r="C31" s="4">
        <v>2474871.0</v>
      </c>
      <c r="D31" s="7">
        <v>0.1724</v>
      </c>
      <c r="E31" s="6">
        <f t="shared" si="1"/>
        <v>2048203.24</v>
      </c>
      <c r="F31" s="6" t="str">
        <f t="shared" si="2"/>
        <v>No</v>
      </c>
    </row>
    <row r="32">
      <c r="A32" s="2" t="s">
        <v>41</v>
      </c>
      <c r="B32" s="3" t="s">
        <v>17</v>
      </c>
      <c r="C32" s="4">
        <v>3883508.0</v>
      </c>
      <c r="D32" s="7">
        <v>0.1724</v>
      </c>
      <c r="E32" s="6">
        <f t="shared" si="1"/>
        <v>3213991.221</v>
      </c>
      <c r="F32" s="6" t="str">
        <f t="shared" si="2"/>
        <v>No</v>
      </c>
    </row>
    <row r="33">
      <c r="A33" s="2" t="s">
        <v>42</v>
      </c>
      <c r="B33" s="3" t="s">
        <v>17</v>
      </c>
      <c r="C33" s="4">
        <v>8024447.0</v>
      </c>
      <c r="D33" s="7">
        <v>0.0835</v>
      </c>
      <c r="E33" s="6">
        <f t="shared" si="1"/>
        <v>7354405.676</v>
      </c>
      <c r="F33" s="6" t="str">
        <f t="shared" si="2"/>
        <v>Yes</v>
      </c>
    </row>
    <row r="34">
      <c r="A34" s="2" t="s">
        <v>43</v>
      </c>
      <c r="B34" s="3" t="s">
        <v>17</v>
      </c>
      <c r="C34" s="4">
        <v>2389431.0</v>
      </c>
      <c r="D34" s="7">
        <v>0.1724</v>
      </c>
      <c r="E34" s="6">
        <f t="shared" si="1"/>
        <v>1977493.096</v>
      </c>
      <c r="F34" s="6" t="str">
        <f t="shared" si="2"/>
        <v>No</v>
      </c>
    </row>
    <row r="35">
      <c r="A35" s="2" t="s">
        <v>44</v>
      </c>
      <c r="B35" s="3" t="s">
        <v>9</v>
      </c>
      <c r="C35" s="4">
        <v>2447110.0</v>
      </c>
      <c r="D35" s="7">
        <v>0.0</v>
      </c>
      <c r="E35" s="6">
        <f t="shared" si="1"/>
        <v>2447110</v>
      </c>
      <c r="F35" s="6" t="str">
        <f t="shared" si="2"/>
        <v>No</v>
      </c>
    </row>
    <row r="36">
      <c r="A36" s="2" t="s">
        <v>45</v>
      </c>
      <c r="B36" s="3" t="s">
        <v>13</v>
      </c>
      <c r="C36" s="4">
        <v>8830190.0</v>
      </c>
      <c r="D36" s="7">
        <v>0.0353</v>
      </c>
      <c r="E36" s="6">
        <f t="shared" si="1"/>
        <v>8518484.293</v>
      </c>
      <c r="F36" s="6" t="str">
        <f t="shared" si="2"/>
        <v>Yes</v>
      </c>
    </row>
    <row r="37">
      <c r="A37" s="2" t="s">
        <v>46</v>
      </c>
      <c r="B37" s="3" t="s">
        <v>17</v>
      </c>
      <c r="C37" s="4">
        <v>6574457.0</v>
      </c>
      <c r="D37" s="7">
        <v>0.0835</v>
      </c>
      <c r="E37" s="6">
        <f t="shared" si="1"/>
        <v>6025489.841</v>
      </c>
      <c r="F37" s="6" t="str">
        <f t="shared" si="2"/>
        <v>Yes</v>
      </c>
    </row>
    <row r="38">
      <c r="A38" s="2" t="s">
        <v>47</v>
      </c>
      <c r="B38" s="3" t="s">
        <v>9</v>
      </c>
      <c r="C38" s="4">
        <v>2774285.0</v>
      </c>
      <c r="D38" s="7">
        <v>0.0835</v>
      </c>
      <c r="E38" s="6">
        <f t="shared" si="1"/>
        <v>2542632.203</v>
      </c>
      <c r="F38" s="6" t="str">
        <f t="shared" si="2"/>
        <v>No</v>
      </c>
    </row>
    <row r="39">
      <c r="A39" s="2" t="s">
        <v>48</v>
      </c>
      <c r="B39" s="3" t="s">
        <v>11</v>
      </c>
      <c r="C39" s="4">
        <v>8229570.0</v>
      </c>
      <c r="D39" s="7">
        <v>0.0835</v>
      </c>
      <c r="E39" s="6">
        <f t="shared" si="1"/>
        <v>7542400.905</v>
      </c>
      <c r="F39" s="6" t="str">
        <f t="shared" si="2"/>
        <v>Yes</v>
      </c>
    </row>
    <row r="40">
      <c r="A40" s="2" t="s">
        <v>49</v>
      </c>
      <c r="B40" s="3" t="s">
        <v>7</v>
      </c>
      <c r="C40" s="4">
        <v>5899332.0</v>
      </c>
      <c r="D40" s="7">
        <v>0.0835</v>
      </c>
      <c r="E40" s="6">
        <f t="shared" si="1"/>
        <v>5406737.778</v>
      </c>
      <c r="F40" s="6" t="str">
        <f t="shared" si="2"/>
        <v>Yes</v>
      </c>
    </row>
    <row r="41">
      <c r="A41" s="2" t="s">
        <v>50</v>
      </c>
      <c r="B41" s="3" t="s">
        <v>13</v>
      </c>
      <c r="C41" s="4">
        <v>3058511.0</v>
      </c>
      <c r="D41" s="7">
        <v>0.0835</v>
      </c>
      <c r="E41" s="6">
        <f t="shared" si="1"/>
        <v>2803125.332</v>
      </c>
      <c r="F41" s="6" t="str">
        <f t="shared" si="2"/>
        <v>No</v>
      </c>
    </row>
    <row r="42">
      <c r="A42" s="8"/>
      <c r="B42" s="9"/>
      <c r="C42" s="10"/>
      <c r="D42" s="11"/>
      <c r="E42" s="9"/>
      <c r="F42" s="9"/>
      <c r="G42" s="9"/>
    </row>
    <row r="43">
      <c r="A43" s="8"/>
      <c r="B43" s="9"/>
      <c r="C43" s="10"/>
      <c r="D43" s="11"/>
      <c r="E43" s="9"/>
      <c r="F43" s="9"/>
      <c r="G43" s="9"/>
    </row>
    <row r="44">
      <c r="A44" s="8"/>
      <c r="B44" s="9"/>
      <c r="C44" s="10"/>
      <c r="D44" s="11"/>
      <c r="E44" s="9"/>
      <c r="F44" s="9"/>
      <c r="G44" s="9"/>
    </row>
    <row r="45">
      <c r="A45" s="8"/>
      <c r="B45" s="9"/>
      <c r="C45" s="10"/>
      <c r="D45" s="11"/>
      <c r="E45" s="9"/>
      <c r="F45" s="9"/>
      <c r="G45" s="9"/>
    </row>
    <row r="46">
      <c r="A46" s="8"/>
      <c r="B46" s="9"/>
      <c r="C46" s="10"/>
      <c r="D46" s="11"/>
      <c r="E46" s="9"/>
      <c r="F46" s="9"/>
      <c r="G46" s="9"/>
    </row>
    <row r="47">
      <c r="A47" s="8"/>
      <c r="B47" s="9"/>
      <c r="C47" s="10"/>
      <c r="D47" s="11"/>
      <c r="E47" s="9"/>
      <c r="F47" s="9"/>
      <c r="G47" s="9"/>
    </row>
    <row r="48">
      <c r="A48" s="8"/>
      <c r="B48" s="9"/>
      <c r="C48" s="10"/>
      <c r="D48" s="11"/>
      <c r="E48" s="9"/>
      <c r="F48" s="9"/>
      <c r="G48" s="9"/>
    </row>
    <row r="49">
      <c r="A49" s="8"/>
      <c r="B49" s="9"/>
      <c r="C49" s="10"/>
      <c r="D49" s="11"/>
      <c r="E49" s="9"/>
      <c r="F49" s="9"/>
      <c r="G49" s="9"/>
    </row>
    <row r="50">
      <c r="A50" s="8"/>
      <c r="B50" s="9"/>
      <c r="C50" s="10"/>
      <c r="D50" s="11"/>
      <c r="E50" s="9"/>
      <c r="F50" s="9"/>
      <c r="G50" s="9"/>
    </row>
    <row r="51">
      <c r="A51" s="8"/>
      <c r="B51" s="9"/>
      <c r="C51" s="10"/>
      <c r="D51" s="11"/>
      <c r="E51" s="9"/>
      <c r="F51" s="9"/>
      <c r="G51" s="9"/>
    </row>
    <row r="52">
      <c r="A52" s="9"/>
      <c r="B52" s="9"/>
      <c r="C52" s="9"/>
      <c r="D52" s="9"/>
      <c r="E52" s="9"/>
      <c r="F52" s="9"/>
      <c r="G52" s="9"/>
    </row>
    <row r="53">
      <c r="A53" s="9"/>
      <c r="B53" s="9"/>
      <c r="C53" s="9"/>
      <c r="D53" s="9"/>
      <c r="E53" s="9"/>
      <c r="F53" s="9"/>
      <c r="G53" s="9"/>
    </row>
    <row r="54">
      <c r="A54" s="9"/>
      <c r="B54" s="9"/>
      <c r="C54" s="9"/>
      <c r="D54" s="9"/>
      <c r="E54" s="9"/>
      <c r="F54" s="9"/>
      <c r="G54" s="9"/>
    </row>
    <row r="55">
      <c r="A55" s="9"/>
      <c r="B55" s="9"/>
      <c r="C55" s="9"/>
      <c r="D55" s="9"/>
      <c r="E55" s="9"/>
      <c r="F55" s="9"/>
      <c r="G55" s="9"/>
    </row>
    <row r="56">
      <c r="A56" s="9"/>
      <c r="B56" s="9"/>
      <c r="C56" s="9"/>
      <c r="D56" s="9"/>
      <c r="E56" s="9"/>
      <c r="F56" s="9"/>
      <c r="G56" s="9"/>
    </row>
    <row r="57">
      <c r="A57" s="9"/>
      <c r="B57" s="9"/>
      <c r="C57" s="9"/>
      <c r="D57" s="9"/>
      <c r="E57" s="9"/>
      <c r="F57" s="9"/>
      <c r="G57" s="9"/>
    </row>
    <row r="58">
      <c r="A58" s="9"/>
      <c r="B58" s="9"/>
      <c r="C58" s="9"/>
      <c r="D58" s="9"/>
      <c r="E58" s="9"/>
      <c r="F58" s="9"/>
      <c r="G58" s="9"/>
    </row>
    <row r="59">
      <c r="A59" s="9"/>
      <c r="B59" s="9"/>
      <c r="C59" s="9"/>
      <c r="D59" s="9"/>
      <c r="E59" s="9"/>
      <c r="F59" s="9"/>
      <c r="G59" s="9"/>
    </row>
    <row r="60">
      <c r="A60" s="9"/>
      <c r="B60" s="9"/>
      <c r="C60" s="9"/>
      <c r="D60" s="9"/>
      <c r="E60" s="9"/>
      <c r="F60" s="9"/>
      <c r="G60" s="9"/>
    </row>
    <row r="61">
      <c r="A61" s="9"/>
      <c r="B61" s="9"/>
      <c r="C61" s="9"/>
      <c r="D61" s="9"/>
      <c r="E61" s="9"/>
      <c r="F61" s="9"/>
      <c r="G61" s="9"/>
    </row>
    <row r="62">
      <c r="A62" s="9"/>
      <c r="B62" s="9"/>
      <c r="C62" s="9"/>
      <c r="D62" s="9"/>
      <c r="E62" s="9"/>
      <c r="F62" s="9"/>
      <c r="G62" s="9"/>
    </row>
    <row r="63">
      <c r="A63" s="9"/>
      <c r="B63" s="9"/>
      <c r="C63" s="9"/>
      <c r="D63" s="9"/>
      <c r="E63" s="9"/>
      <c r="F63" s="9"/>
      <c r="G63" s="9"/>
    </row>
    <row r="64">
      <c r="A64" s="9"/>
      <c r="B64" s="9"/>
      <c r="C64" s="9"/>
      <c r="D64" s="9"/>
      <c r="E64" s="9"/>
      <c r="F64" s="9"/>
      <c r="G64" s="9"/>
    </row>
    <row r="65">
      <c r="A65" s="9"/>
      <c r="B65" s="9"/>
      <c r="C65" s="9"/>
      <c r="D65" s="9"/>
      <c r="E65" s="9"/>
      <c r="F65" s="9"/>
      <c r="G65" s="9"/>
    </row>
    <row r="66">
      <c r="A66" s="9"/>
      <c r="B66" s="9"/>
      <c r="C66" s="9"/>
      <c r="D66" s="9"/>
      <c r="E66" s="9"/>
      <c r="F66" s="9"/>
      <c r="G66" s="9"/>
    </row>
    <row r="67">
      <c r="A67" s="9"/>
      <c r="B67" s="9"/>
      <c r="C67" s="9"/>
      <c r="D67" s="9"/>
      <c r="E67" s="9"/>
      <c r="F67" s="9"/>
      <c r="G67" s="9"/>
    </row>
    <row r="68">
      <c r="A68" s="9"/>
      <c r="B68" s="9"/>
      <c r="C68" s="9"/>
      <c r="D68" s="9"/>
      <c r="E68" s="9"/>
      <c r="F68" s="9"/>
      <c r="G68" s="9"/>
    </row>
    <row r="69">
      <c r="A69" s="9"/>
      <c r="B69" s="9"/>
      <c r="C69" s="9"/>
      <c r="D69" s="9"/>
      <c r="E69" s="9"/>
      <c r="F69" s="9"/>
      <c r="G69" s="9"/>
    </row>
    <row r="70">
      <c r="A70" s="9"/>
      <c r="B70" s="9"/>
      <c r="C70" s="9"/>
      <c r="D70" s="9"/>
      <c r="E70" s="9"/>
      <c r="F70" s="9"/>
      <c r="G7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9.88"/>
    <col customWidth="1" min="3" max="3" width="20.63"/>
    <col customWidth="1" min="4" max="4" width="15.88"/>
  </cols>
  <sheetData>
    <row r="1">
      <c r="A1" s="12" t="s">
        <v>51</v>
      </c>
    </row>
    <row r="2">
      <c r="A2" s="13" t="s">
        <v>52</v>
      </c>
      <c r="B2" s="14" t="str">
        <f>IFERROR(__xludf.DUMMYFUNCTION("FILTER('Tax- Data'!A2:A41,'Tax- Data'!E2:E41&gt;9000000)"),"Gauri")</f>
        <v>Gauri</v>
      </c>
    </row>
    <row r="3">
      <c r="B3" s="14" t="str">
        <f>IFERROR(__xludf.DUMMYFUNCTION("""COMPUTED_VALUE"""),"Kavita")</f>
        <v>Kavita</v>
      </c>
    </row>
    <row r="4">
      <c r="B4" s="14" t="str">
        <f>IFERROR(__xludf.DUMMYFUNCTION("""COMPUTED_VALUE"""),"Neha")</f>
        <v>Neha</v>
      </c>
    </row>
    <row r="6">
      <c r="A6" s="12" t="s">
        <v>53</v>
      </c>
    </row>
    <row r="7">
      <c r="A7" s="13" t="s">
        <v>52</v>
      </c>
      <c r="B7" s="14">
        <f>SUMIFS('Tax- Data'!E2:E41,'Tax- Data'!B2:B41,"Business")</f>
        <v>42675743.71</v>
      </c>
    </row>
    <row r="9">
      <c r="A9" s="12" t="s">
        <v>54</v>
      </c>
    </row>
    <row r="10">
      <c r="A10" s="13" t="s">
        <v>52</v>
      </c>
      <c r="B10" s="14">
        <f>AVERAGEIFS('Tax- Data'!E2:E41,'Tax- Data'!B2:B41,"Capital gains")</f>
        <v>4039944.882</v>
      </c>
    </row>
    <row r="12">
      <c r="A12" s="12" t="s">
        <v>55</v>
      </c>
    </row>
    <row r="13">
      <c r="A13" s="13" t="s">
        <v>52</v>
      </c>
      <c r="B13" s="14">
        <f>MINIFS('Tax- Data'!C2:C41,'Tax- Data'!B2:B41,"Salary")</f>
        <v>544698</v>
      </c>
    </row>
    <row r="15">
      <c r="A15" s="12" t="s">
        <v>56</v>
      </c>
    </row>
    <row r="16">
      <c r="A16" s="13" t="s">
        <v>52</v>
      </c>
      <c r="B16" s="15" t="str">
        <f>IFERROR(__xludf.DUMMYFUNCTION("FILTER('Tax- Data'!A2:A41,'Tax- Data'!C2:C41&gt;=5000000,'Tax- Data'!B2:B41=""House Property"")"),"Gauri")</f>
        <v>Gauri</v>
      </c>
    </row>
    <row r="17">
      <c r="B17" s="14" t="str">
        <f>IFERROR(__xludf.DUMMYFUNCTION("""COMPUTED_VALUE"""),"Kabir")</f>
        <v>Kabir</v>
      </c>
    </row>
    <row r="18">
      <c r="B18" s="14" t="str">
        <f>IFERROR(__xludf.DUMMYFUNCTION("""COMPUTED_VALUE"""),"Rahul")</f>
        <v>Rahul</v>
      </c>
    </row>
    <row r="19">
      <c r="B19" s="14" t="str">
        <f>IFERROR(__xludf.DUMMYFUNCTION("""COMPUTED_VALUE"""),"Anika")</f>
        <v>Anika</v>
      </c>
    </row>
    <row r="20">
      <c r="B20" s="14" t="str">
        <f>IFERROR(__xludf.DUMMYFUNCTION("""COMPUTED_VALUE"""),"Diya")</f>
        <v>Diya</v>
      </c>
    </row>
    <row r="22">
      <c r="A22" s="12" t="s">
        <v>57</v>
      </c>
    </row>
    <row r="23">
      <c r="A23" s="13" t="s">
        <v>52</v>
      </c>
      <c r="B23" s="14">
        <f>COUNTIFS('Tax- Data'!D2:D41, "&gt;8%", 'Tax- Data'!B2:B41, "Other income")
</f>
        <v>2</v>
      </c>
    </row>
    <row r="25">
      <c r="A25" s="12" t="s">
        <v>58</v>
      </c>
    </row>
    <row r="26">
      <c r="A26" s="13" t="s">
        <v>52</v>
      </c>
      <c r="B26" s="14">
        <f>MAXIFS('Tax- Data'!E2:E41,'Tax- Data'!B2:B41,"Business")+MAXIFS('Tax- Data'!E2:E41,'Tax- Data'!B2:B41,"Capital Gains")</f>
        <v>16976557.13</v>
      </c>
    </row>
    <row r="28">
      <c r="A28" s="12" t="s">
        <v>59</v>
      </c>
    </row>
    <row r="29">
      <c r="A29" s="13" t="s">
        <v>52</v>
      </c>
      <c r="B29" s="14" t="str">
        <f>IFERROR(__xludf.DUMMYFUNCTION("FILTER('Tax- Data'!A2:A41,'Tax- Data'!C2:C41&gt;8000000,'Tax- Data'!D2:D41&gt;12%)"),"Harsh")</f>
        <v>Harsh</v>
      </c>
    </row>
    <row r="31">
      <c r="A31" s="12" t="s">
        <v>60</v>
      </c>
    </row>
    <row r="32">
      <c r="A32" s="13" t="s">
        <v>52</v>
      </c>
      <c r="B32" s="14">
        <f>COUNTIFS('Tax- Data'!D2:D41,"&gt;10%",'Tax- Data'!B2:B41,"Salary")</f>
        <v>3</v>
      </c>
    </row>
    <row r="34">
      <c r="A34" s="12" t="s">
        <v>61</v>
      </c>
    </row>
    <row r="35">
      <c r="A35" s="16" t="s">
        <v>1</v>
      </c>
      <c r="B35" s="16" t="s">
        <v>62</v>
      </c>
    </row>
    <row r="36">
      <c r="A36" s="14" t="s">
        <v>7</v>
      </c>
      <c r="B36" s="14">
        <f>SUMIFS('Tax- Data'!$E$2:$E$41,'Tax- Data'!$B$2:$B$41,A36)</f>
        <v>42675743.71</v>
      </c>
    </row>
    <row r="37">
      <c r="A37" s="14" t="s">
        <v>13</v>
      </c>
      <c r="B37" s="14">
        <f>SUMIFS('Tax- Data'!$E$2:$E$41,'Tax- Data'!$B$2:$B$41,A37)</f>
        <v>55356462.28</v>
      </c>
    </row>
    <row r="38">
      <c r="A38" s="14" t="s">
        <v>17</v>
      </c>
      <c r="B38" s="14">
        <f>SUMIFS('Tax- Data'!$E$2:$E$41,'Tax- Data'!$B$2:$B$41,A38)</f>
        <v>49150854.27</v>
      </c>
    </row>
    <row r="39">
      <c r="A39" s="14" t="s">
        <v>9</v>
      </c>
      <c r="B39" s="14">
        <f>SUMIFS('Tax- Data'!$E$2:$E$41,'Tax- Data'!$B$2:$B$41,A39)</f>
        <v>24239669.29</v>
      </c>
    </row>
    <row r="41">
      <c r="A41" s="12" t="s">
        <v>63</v>
      </c>
    </row>
    <row r="42">
      <c r="A42" s="13" t="s">
        <v>52</v>
      </c>
      <c r="B42" s="14">
        <f>SUMIFS('Tax- Data'!C2:C41,'Tax- Data'!B2:B41,"Business",'Tax- Data'!F2:F41,"No")</f>
        <v>12981175</v>
      </c>
    </row>
    <row r="44">
      <c r="A44" s="12" t="s">
        <v>64</v>
      </c>
    </row>
    <row r="45">
      <c r="A45" s="13" t="s">
        <v>52</v>
      </c>
      <c r="B45" s="17">
        <f>MAXIFS('Tax- Data'!D2:D41,'Tax- Data'!B2:B41,"Salary")</f>
        <v>0.1724</v>
      </c>
    </row>
    <row r="47">
      <c r="A47" s="12" t="s">
        <v>65</v>
      </c>
    </row>
    <row r="48">
      <c r="A48" s="13" t="s">
        <v>52</v>
      </c>
      <c r="B48" s="17">
        <f>MINIFS('Tax- Data'!D5:D44,'Tax- Data'!B5:B44,"House Property")</f>
        <v>0</v>
      </c>
    </row>
    <row r="50">
      <c r="A50" s="12" t="s">
        <v>66</v>
      </c>
    </row>
    <row r="51">
      <c r="A51" s="13" t="s">
        <v>52</v>
      </c>
      <c r="B51" s="14" t="str">
        <f>IFERROR(__xludf.DUMMYFUNCTION("FILTER('Tax- Data'!A2:A41,'Tax- Data'!E2:E41&lt;6000000,'Tax- Data'!F2:F41=""Yes"")"),"Ananya")</f>
        <v>Ananya</v>
      </c>
    </row>
    <row r="52">
      <c r="B52" s="14" t="str">
        <f>IFERROR(__xludf.DUMMYFUNCTION("""COMPUTED_VALUE"""),"Ishaan")</f>
        <v>Ishaan</v>
      </c>
    </row>
    <row r="53">
      <c r="B53" s="14" t="str">
        <f>IFERROR(__xludf.DUMMYFUNCTION("""COMPUTED_VALUE"""),"Lakshya")</f>
        <v>Lakshya</v>
      </c>
    </row>
    <row r="54">
      <c r="B54" s="14" t="str">
        <f>IFERROR(__xludf.DUMMYFUNCTION("""COMPUTED_VALUE"""),"Meera")</f>
        <v>Meera</v>
      </c>
    </row>
    <row r="55">
      <c r="B55" s="14" t="str">
        <f>IFERROR(__xludf.DUMMYFUNCTION("""COMPUTED_VALUE"""),"Ganesh")</f>
        <v>Ganesh</v>
      </c>
    </row>
    <row r="57">
      <c r="A57" s="12" t="s">
        <v>67</v>
      </c>
    </row>
    <row r="58">
      <c r="A58" s="13" t="s">
        <v>52</v>
      </c>
      <c r="B58" s="18">
        <f>COUNTIFS('Tax- Data'!F2:F41,"Yes",'Tax- Data'!B2:B41,"Business")</f>
        <v>4</v>
      </c>
    </row>
    <row r="60">
      <c r="A60" s="12" t="s">
        <v>68</v>
      </c>
    </row>
    <row r="61">
      <c r="A61" s="13" t="s">
        <v>52</v>
      </c>
      <c r="B61" s="17">
        <f>AVERAGEIFS('Tax- Data'!D2:D41,'Tax- Data'!B2:B41,"Salary",'Tax- Data'!C2:C41,"&gt;5403641")</f>
        <v>0.04664285714</v>
      </c>
    </row>
    <row r="63">
      <c r="A63" s="12" t="s">
        <v>69</v>
      </c>
    </row>
    <row r="64">
      <c r="A64" s="13" t="s">
        <v>52</v>
      </c>
      <c r="B64" s="14">
        <f>MAXIFS('Tax- Data'!E2:E41,'Tax- Data'!F2:F41,"Yes",'Tax- Data'!D2:D41,"&lt;3%")</f>
        <v>9735478</v>
      </c>
    </row>
    <row r="66">
      <c r="A66" s="12" t="s">
        <v>70</v>
      </c>
    </row>
    <row r="67">
      <c r="A67" s="13" t="s">
        <v>52</v>
      </c>
      <c r="B67" s="14">
        <f>AVERAGEIFS('Tax- Data'!C2:C41,'Tax- Data'!F2:F41,"Yes",'Tax- Data'!D2:D41,"&lt;12%")</f>
        <v>7794832.8</v>
      </c>
    </row>
    <row r="69">
      <c r="A69" s="12" t="s">
        <v>71</v>
      </c>
    </row>
    <row r="70">
      <c r="A70" s="13" t="s">
        <v>52</v>
      </c>
      <c r="B70" s="17">
        <f>MINIFS('Tax- Data'!D2:D41,'Tax- Data'!D2:D41,"&gt;5%")</f>
        <v>0.0835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88"/>
    <col customWidth="1" min="3" max="3" width="26.88"/>
    <col customWidth="1" min="4" max="4" width="16.0"/>
    <col customWidth="1" min="6" max="6" width="13.75"/>
  </cols>
  <sheetData>
    <row r="1">
      <c r="A1" s="19" t="s">
        <v>72</v>
      </c>
    </row>
    <row r="2">
      <c r="A2" s="20" t="s">
        <v>73</v>
      </c>
    </row>
    <row r="3">
      <c r="A3" s="13" t="s">
        <v>74</v>
      </c>
      <c r="B3" s="14" t="str">
        <f>IFERROR(__xludf.DUMMYFUNCTION("FILTER('Tax- Data'!A2:A41,'Tax- Data'!D2:D41=MAXIFS('Tax- Data'!D2:D41,'Tax- Data'!E2:E41,""&gt;3000000""))"),"Chetan")</f>
        <v>Chetan</v>
      </c>
    </row>
    <row r="4">
      <c r="B4" s="14" t="str">
        <f>IFERROR(__xludf.DUMMYFUNCTION("""COMPUTED_VALUE"""),"Lakshya")</f>
        <v>Lakshya</v>
      </c>
    </row>
    <row r="5">
      <c r="B5" s="14" t="str">
        <f>IFERROR(__xludf.DUMMYFUNCTION("""COMPUTED_VALUE"""),"Varun")</f>
        <v>Varun</v>
      </c>
    </row>
    <row r="6">
      <c r="B6" s="14" t="str">
        <f>IFERROR(__xludf.DUMMYFUNCTION("""COMPUTED_VALUE"""),"Zara")</f>
        <v>Zara</v>
      </c>
    </row>
    <row r="7">
      <c r="B7" s="14" t="str">
        <f>IFERROR(__xludf.DUMMYFUNCTION("""COMPUTED_VALUE"""),"Aditya")</f>
        <v>Aditya</v>
      </c>
    </row>
    <row r="8">
      <c r="B8" s="14" t="str">
        <f>IFERROR(__xludf.DUMMYFUNCTION("""COMPUTED_VALUE"""),"Akshay")</f>
        <v>Akshay</v>
      </c>
    </row>
    <row r="10">
      <c r="A10" s="12" t="s">
        <v>75</v>
      </c>
    </row>
    <row r="11">
      <c r="A11" s="12" t="s">
        <v>76</v>
      </c>
    </row>
    <row r="12">
      <c r="A12" s="13" t="s">
        <v>74</v>
      </c>
      <c r="B12" s="14" t="str">
        <f>IFERROR(__xludf.DUMMYFUNCTION("FILTER('Tax- Data'!A2:A41,'Tax- Data'!E2:E41=MIN('Tax- Data'!E2:E41))"),"Chetan")</f>
        <v>Chetan</v>
      </c>
    </row>
    <row r="14">
      <c r="A14" s="12" t="s">
        <v>77</v>
      </c>
    </row>
    <row r="15">
      <c r="A15" s="12" t="s">
        <v>78</v>
      </c>
    </row>
    <row r="16">
      <c r="A16" s="13" t="s">
        <v>74</v>
      </c>
      <c r="B16" s="14" t="str">
        <f>IFERROR(__xludf.DUMMYFUNCTION("FILTER('Tax- Data'!B2:B41,'Tax- Data'!E2:E41=MAXIFS('Tax- Data'!E2:E41,'Tax- Data'!F2:F41,""Yes""))"),"Salary")</f>
        <v>Salary</v>
      </c>
    </row>
    <row r="18">
      <c r="A18" s="12" t="s">
        <v>79</v>
      </c>
    </row>
    <row r="19">
      <c r="A19" s="12" t="s">
        <v>80</v>
      </c>
    </row>
    <row r="20">
      <c r="A20" s="12" t="s">
        <v>81</v>
      </c>
      <c r="B20" s="21">
        <v>9000000.0</v>
      </c>
      <c r="C20" s="12" t="s">
        <v>82</v>
      </c>
    </row>
    <row r="21">
      <c r="A21" s="12" t="s">
        <v>81</v>
      </c>
      <c r="B21" s="21">
        <v>6000000.0</v>
      </c>
      <c r="C21" s="12" t="s">
        <v>83</v>
      </c>
    </row>
    <row r="22">
      <c r="A22" s="12" t="s">
        <v>84</v>
      </c>
      <c r="B22" s="21">
        <v>6000000.0</v>
      </c>
      <c r="C22" s="12" t="s">
        <v>85</v>
      </c>
    </row>
    <row r="23">
      <c r="A23" s="12" t="s">
        <v>86</v>
      </c>
    </row>
    <row r="24">
      <c r="A24" s="16" t="s">
        <v>0</v>
      </c>
      <c r="B24" s="16" t="s">
        <v>4</v>
      </c>
      <c r="C24" s="16" t="s">
        <v>5</v>
      </c>
      <c r="D24" s="16" t="s">
        <v>87</v>
      </c>
    </row>
    <row r="25">
      <c r="A25" s="14" t="s">
        <v>25</v>
      </c>
      <c r="B25" s="14">
        <f>VLOOKUP(A25,'Tax- Data'!$A$2:$E$41,5,FALSE)</f>
        <v>9735478</v>
      </c>
      <c r="C25" s="14" t="str">
        <f>VLOOKUP(A25,'Tax- Data'!A$2:F$41,6,FALSE)</f>
        <v>Yes</v>
      </c>
      <c r="D25" s="14">
        <f t="shared" ref="D25:D27" si="1">IF(C25="Yes",IF(B25&gt;=9000000,B25*10%,IF(B25&gt;=6000000,B25*7.5%,IF(B25&lt;6000000,B25*5%,"-"))),"-")</f>
        <v>973547.8</v>
      </c>
    </row>
    <row r="26">
      <c r="A26" s="15" t="s">
        <v>16</v>
      </c>
      <c r="B26" s="14">
        <f>VLOOKUP(A26,'Tax- Data'!$A$2:$E$41,5,FALSE)</f>
        <v>3140545</v>
      </c>
      <c r="C26" s="14" t="str">
        <f>VLOOKUP(A26,'Tax- Data'!A$2:F$41,6,FALSE)</f>
        <v>No</v>
      </c>
      <c r="D26" s="14" t="str">
        <f t="shared" si="1"/>
        <v>-</v>
      </c>
    </row>
    <row r="27">
      <c r="A27" s="14" t="s">
        <v>21</v>
      </c>
      <c r="B27" s="14">
        <f>VLOOKUP(A27,'Tax- Data'!$A$2:$E$41,5,FALSE)</f>
        <v>7899219.66</v>
      </c>
      <c r="C27" s="14" t="str">
        <f>VLOOKUP(A27,'Tax- Data'!A$2:F$41,6,FALSE)</f>
        <v>Yes</v>
      </c>
      <c r="D27" s="14">
        <f t="shared" si="1"/>
        <v>592441.4745</v>
      </c>
    </row>
    <row r="29">
      <c r="A29" s="12" t="s">
        <v>88</v>
      </c>
    </row>
    <row r="30">
      <c r="A30" s="12" t="s">
        <v>89</v>
      </c>
    </row>
    <row r="31">
      <c r="A31" s="12" t="s">
        <v>90</v>
      </c>
    </row>
    <row r="32">
      <c r="A32" s="12" t="s">
        <v>91</v>
      </c>
    </row>
    <row r="33">
      <c r="A33" s="16" t="s">
        <v>0</v>
      </c>
      <c r="B33" s="16" t="s">
        <v>2</v>
      </c>
      <c r="C33" s="16" t="s">
        <v>92</v>
      </c>
    </row>
    <row r="34">
      <c r="A34" s="14" t="s">
        <v>32</v>
      </c>
      <c r="B34" s="18">
        <f>VLOOKUP(A34,'Tax- Data'!$A$2:$C$41,3,FALSE)</f>
        <v>7684571</v>
      </c>
      <c r="C34" s="14" t="str">
        <f t="shared" ref="C34:C36" si="2">IF(B34&gt;=8000000,"High Income",IF(B34&gt;=7000000,"Medium Income","Low Income"))</f>
        <v>Medium Income</v>
      </c>
    </row>
    <row r="35">
      <c r="A35" s="14" t="s">
        <v>22</v>
      </c>
      <c r="B35" s="18">
        <f>VLOOKUP(A35,'Tax- Data'!$A$2:$C$41,3,FALSE)</f>
        <v>6024292</v>
      </c>
      <c r="C35" s="14" t="str">
        <f t="shared" si="2"/>
        <v>Low Income</v>
      </c>
    </row>
    <row r="36">
      <c r="A36" s="14" t="s">
        <v>19</v>
      </c>
      <c r="B36" s="18">
        <f>VLOOKUP(A36,'Tax- Data'!$A$2:$C$41,3,FALSE)</f>
        <v>8857840</v>
      </c>
      <c r="C36" s="14" t="str">
        <f t="shared" si="2"/>
        <v>High Income</v>
      </c>
    </row>
    <row r="38">
      <c r="A38" s="12" t="s">
        <v>93</v>
      </c>
    </row>
    <row r="39">
      <c r="A39" s="12" t="s">
        <v>94</v>
      </c>
    </row>
    <row r="40">
      <c r="A40" s="13" t="s">
        <v>74</v>
      </c>
      <c r="B40" s="14" t="str">
        <f>IFERROR(__xludf.DUMMYFUNCTION("FILTER('Tax- Data'!A2:A41,'Tax- Data'!D2:D41=MAXIFS('Tax- Data'!D2:D41,'Tax- Data'!B2:B41,""House Property""))"),"Chetan")</f>
        <v>Chetan</v>
      </c>
    </row>
    <row r="41">
      <c r="B41" s="14" t="str">
        <f>IFERROR(__xludf.DUMMYFUNCTION("""COMPUTED_VALUE"""),"Lakshya")</f>
        <v>Lakshya</v>
      </c>
    </row>
    <row r="42">
      <c r="B42" s="14" t="str">
        <f>IFERROR(__xludf.DUMMYFUNCTION("""COMPUTED_VALUE"""),"Varun")</f>
        <v>Varun</v>
      </c>
    </row>
    <row r="43">
      <c r="B43" s="14" t="str">
        <f>IFERROR(__xludf.DUMMYFUNCTION("""COMPUTED_VALUE"""),"Zara")</f>
        <v>Zara</v>
      </c>
    </row>
    <row r="44">
      <c r="B44" s="14" t="str">
        <f>IFERROR(__xludf.DUMMYFUNCTION("""COMPUTED_VALUE"""),"Aditya")</f>
        <v>Aditya</v>
      </c>
    </row>
    <row r="45">
      <c r="B45" s="14" t="str">
        <f>IFERROR(__xludf.DUMMYFUNCTION("""COMPUTED_VALUE"""),"Akshay")</f>
        <v>Akshay</v>
      </c>
    </row>
    <row r="47">
      <c r="A47" s="12" t="s">
        <v>95</v>
      </c>
    </row>
    <row r="48">
      <c r="A48" s="12" t="s">
        <v>96</v>
      </c>
    </row>
    <row r="49">
      <c r="A49" s="12" t="s">
        <v>97</v>
      </c>
    </row>
    <row r="50">
      <c r="A50" s="12" t="s">
        <v>98</v>
      </c>
    </row>
    <row r="51">
      <c r="A51" s="12" t="s">
        <v>99</v>
      </c>
    </row>
    <row r="52">
      <c r="A52" s="16" t="s">
        <v>0</v>
      </c>
      <c r="B52" s="16" t="s">
        <v>3</v>
      </c>
      <c r="C52" s="16" t="s">
        <v>100</v>
      </c>
    </row>
    <row r="53">
      <c r="A53" s="14" t="s">
        <v>30</v>
      </c>
      <c r="B53" s="17">
        <f>VLOOKUP(A53,'Tax- Data'!A$2:D$41,4,FALSE)</f>
        <v>0.0835</v>
      </c>
      <c r="C53" s="14" t="str">
        <f t="shared" ref="C53:C57" si="3">A53&amp;" "&amp;IF(B53&gt;=16%,"has taken high deduction",IF(B53&gt;=10%,"has taken medium deduction",IF(B53&gt;0%,"has taken low deduction","has not taken any deduction")))</f>
        <v>Omkar has taken low deduction</v>
      </c>
    </row>
    <row r="54">
      <c r="A54" s="15" t="s">
        <v>21</v>
      </c>
      <c r="B54" s="17">
        <f>VLOOKUP(A54,'Tax- Data'!A$2:D$41,4,FALSE)</f>
        <v>0.156</v>
      </c>
      <c r="C54" s="14" t="str">
        <f t="shared" si="3"/>
        <v>Harsh has taken medium deduction</v>
      </c>
    </row>
    <row r="55">
      <c r="A55" s="14" t="s">
        <v>36</v>
      </c>
      <c r="B55" s="17">
        <f>VLOOKUP(A55,'Tax- Data'!A$2:D$41,4,FALSE)</f>
        <v>0</v>
      </c>
      <c r="C55" s="14" t="str">
        <f t="shared" si="3"/>
        <v>Tarun has not taken any deduction</v>
      </c>
    </row>
    <row r="56">
      <c r="A56" s="14" t="s">
        <v>20</v>
      </c>
      <c r="B56" s="17">
        <f>VLOOKUP(A56,'Tax- Data'!A$2:D$41,4,FALSE)</f>
        <v>0.0353</v>
      </c>
      <c r="C56" s="14" t="str">
        <f t="shared" si="3"/>
        <v>Gauri has taken low deduction</v>
      </c>
    </row>
    <row r="57">
      <c r="A57" s="14" t="s">
        <v>38</v>
      </c>
      <c r="B57" s="17">
        <f>VLOOKUP(A57,'Tax- Data'!A$2:D$41,4,FALSE)</f>
        <v>0.1724</v>
      </c>
      <c r="C57" s="14" t="str">
        <f t="shared" si="3"/>
        <v>Varun has taken high deduction</v>
      </c>
    </row>
    <row r="59">
      <c r="A59" s="12" t="s">
        <v>101</v>
      </c>
    </row>
    <row r="60">
      <c r="A60" s="12" t="s">
        <v>102</v>
      </c>
      <c r="B60" s="22"/>
    </row>
    <row r="61">
      <c r="A61" s="13" t="s">
        <v>74</v>
      </c>
      <c r="B61" s="17">
        <f>AVERAGEIFS('Tax- Data'!D2:D41,'Tax- Data'!E2:E41,MAXIFS('Tax- Data'!E2:E41,'Tax- Data'!B2:B41,"Other Income"))</f>
        <v>0.0353</v>
      </c>
    </row>
    <row r="63">
      <c r="A63" s="12" t="s">
        <v>103</v>
      </c>
    </row>
    <row r="64">
      <c r="A64" s="12" t="s">
        <v>104</v>
      </c>
    </row>
    <row r="65">
      <c r="A65" s="13" t="s">
        <v>74</v>
      </c>
      <c r="B65" s="14">
        <f t="array" ref="B65:B67">SORT('Tax- Data'!E2:E41,1,TRUE)
</f>
        <v>450792.0648</v>
      </c>
    </row>
    <row r="66">
      <c r="A66" s="13"/>
      <c r="B66" s="14">
        <v>595026.627</v>
      </c>
    </row>
    <row r="67">
      <c r="A67" s="13"/>
      <c r="B67" s="14">
        <v>657337.0</v>
      </c>
    </row>
    <row r="69">
      <c r="A69" s="12" t="s">
        <v>105</v>
      </c>
    </row>
    <row r="70">
      <c r="A70" s="16" t="s">
        <v>0</v>
      </c>
      <c r="B70" s="16" t="s">
        <v>1</v>
      </c>
      <c r="C70" s="16" t="s">
        <v>2</v>
      </c>
    </row>
    <row r="71">
      <c r="A71" s="14" t="str">
        <f>IFERROR(__xludf.DUMMYFUNCTION("ARRAY_CONSTRAIN(SORT(FILTER('Tax- Data'!A2:F41,'Tax- Data'!C2:C41&gt;7000000,'Tax- Data'!B2:B41=""House Property""),3,FALSE),4,3)"),"Gauri")</f>
        <v>Gauri</v>
      </c>
      <c r="B71" s="14" t="str">
        <f>IFERROR(__xludf.DUMMYFUNCTION("""COMPUTED_VALUE"""),"House Property")</f>
        <v>House Property</v>
      </c>
      <c r="C71" s="18">
        <f>IFERROR(__xludf.DUMMYFUNCTION("""COMPUTED_VALUE"""),9408645.0)</f>
        <v>9408645</v>
      </c>
    </row>
    <row r="72">
      <c r="A72" s="14" t="str">
        <f>IFERROR(__xludf.DUMMYFUNCTION("""COMPUTED_VALUE"""),"Kabir")</f>
        <v>Kabir</v>
      </c>
      <c r="B72" s="14" t="str">
        <f>IFERROR(__xludf.DUMMYFUNCTION("""COMPUTED_VALUE"""),"House Property")</f>
        <v>House Property</v>
      </c>
      <c r="C72" s="18">
        <f>IFERROR(__xludf.DUMMYFUNCTION("""COMPUTED_VALUE"""),8331027.0)</f>
        <v>8331027</v>
      </c>
    </row>
    <row r="73">
      <c r="A73" s="14" t="str">
        <f>IFERROR(__xludf.DUMMYFUNCTION("""COMPUTED_VALUE"""),"Anika")</f>
        <v>Anika</v>
      </c>
      <c r="B73" s="14" t="str">
        <f>IFERROR(__xludf.DUMMYFUNCTION("""COMPUTED_VALUE"""),"House Property")</f>
        <v>House Property</v>
      </c>
      <c r="C73" s="18">
        <f>IFERROR(__xludf.DUMMYFUNCTION("""COMPUTED_VALUE"""),8024447.0)</f>
        <v>8024447</v>
      </c>
    </row>
    <row r="74">
      <c r="A74" s="14" t="str">
        <f>IFERROR(__xludf.DUMMYFUNCTION("""COMPUTED_VALUE"""),"Rahul")</f>
        <v>Rahul</v>
      </c>
      <c r="B74" s="14" t="str">
        <f>IFERROR(__xludf.DUMMYFUNCTION("""COMPUTED_VALUE"""),"House Property")</f>
        <v>House Property</v>
      </c>
      <c r="C74" s="18">
        <f>IFERROR(__xludf.DUMMYFUNCTION("""COMPUTED_VALUE"""),7684571.0)</f>
        <v>7684571</v>
      </c>
    </row>
    <row r="76">
      <c r="A76" s="12" t="s">
        <v>106</v>
      </c>
    </row>
    <row r="77">
      <c r="A77" s="12" t="s">
        <v>107</v>
      </c>
    </row>
    <row r="78">
      <c r="A78" s="13" t="s">
        <v>74</v>
      </c>
      <c r="B78" s="14">
        <f>AVERAGEIFS('Tax- Data'!E2:E41,'Tax- Data'!C2:C41,MAXIFS('Tax- Data'!C2:C41,'Tax- Data'!D2:D41,"3.53%"))</f>
        <v>9076519.832</v>
      </c>
    </row>
    <row r="80">
      <c r="A80" s="12" t="s">
        <v>108</v>
      </c>
    </row>
    <row r="81">
      <c r="A81" s="12" t="s">
        <v>109</v>
      </c>
    </row>
    <row r="82">
      <c r="A82" s="16" t="s">
        <v>0</v>
      </c>
      <c r="B82" s="16" t="s">
        <v>1</v>
      </c>
      <c r="C82" s="16" t="s">
        <v>2</v>
      </c>
      <c r="D82" s="16" t="s">
        <v>3</v>
      </c>
      <c r="E82" s="16" t="s">
        <v>4</v>
      </c>
    </row>
    <row r="83">
      <c r="A83" s="14" t="str">
        <f>IFERROR(__xludf.DUMMYFUNCTION("ARRAY_CONSTRAIN(SORT(FILTER('Tax- Data'!A2:F41,'Tax- Data'!E2:E41&gt;8000000),5,FALSE),3,5)"),"Kavita")</f>
        <v>Kavita</v>
      </c>
      <c r="B83" s="14" t="str">
        <f>IFERROR(__xludf.DUMMYFUNCTION("""COMPUTED_VALUE"""),"Salary")</f>
        <v>Salary</v>
      </c>
      <c r="C83" s="18">
        <f>IFERROR(__xludf.DUMMYFUNCTION("""COMPUTED_VALUE"""),9735478.0)</f>
        <v>9735478</v>
      </c>
      <c r="D83" s="17">
        <f>IFERROR(__xludf.DUMMYFUNCTION("""COMPUTED_VALUE"""),0.0)</f>
        <v>0</v>
      </c>
      <c r="E83" s="14">
        <f>IFERROR(__xludf.DUMMYFUNCTION("""COMPUTED_VALUE"""),9735478.0)</f>
        <v>9735478</v>
      </c>
    </row>
    <row r="84">
      <c r="A84" s="14" t="str">
        <f>IFERROR(__xludf.DUMMYFUNCTION("""COMPUTED_VALUE"""),"Neha")</f>
        <v>Neha</v>
      </c>
      <c r="B84" s="14" t="str">
        <f>IFERROR(__xludf.DUMMYFUNCTION("""COMPUTED_VALUE"""),"Salary")</f>
        <v>Salary</v>
      </c>
      <c r="C84" s="18">
        <f>IFERROR(__xludf.DUMMYFUNCTION("""COMPUTED_VALUE"""),9604515.0)</f>
        <v>9604515</v>
      </c>
      <c r="D84" s="17">
        <f>IFERROR(__xludf.DUMMYFUNCTION("""COMPUTED_VALUE"""),0.0)</f>
        <v>0</v>
      </c>
      <c r="E84" s="14">
        <f>IFERROR(__xludf.DUMMYFUNCTION("""COMPUTED_VALUE"""),9604515.0)</f>
        <v>9604515</v>
      </c>
    </row>
    <row r="85">
      <c r="A85" s="14" t="str">
        <f>IFERROR(__xludf.DUMMYFUNCTION("""COMPUTED_VALUE"""),"Gauri")</f>
        <v>Gauri</v>
      </c>
      <c r="B85" s="14" t="str">
        <f>IFERROR(__xludf.DUMMYFUNCTION("""COMPUTED_VALUE"""),"House Property")</f>
        <v>House Property</v>
      </c>
      <c r="C85" s="18">
        <f>IFERROR(__xludf.DUMMYFUNCTION("""COMPUTED_VALUE"""),9408645.0)</f>
        <v>9408645</v>
      </c>
      <c r="D85" s="17">
        <f>IFERROR(__xludf.DUMMYFUNCTION("""COMPUTED_VALUE"""),0.0353)</f>
        <v>0.0353</v>
      </c>
      <c r="E85" s="14">
        <f>IFERROR(__xludf.DUMMYFUNCTION("""COMPUTED_VALUE"""),9076519.8315)</f>
        <v>9076519.832</v>
      </c>
    </row>
    <row r="87">
      <c r="A87" s="12" t="s">
        <v>110</v>
      </c>
    </row>
    <row r="88">
      <c r="A88" s="12" t="s">
        <v>111</v>
      </c>
    </row>
    <row r="89">
      <c r="A89" s="16" t="s">
        <v>0</v>
      </c>
      <c r="B89" s="16" t="s">
        <v>1</v>
      </c>
      <c r="C89" s="16" t="s">
        <v>2</v>
      </c>
      <c r="D89" s="16" t="s">
        <v>3</v>
      </c>
      <c r="E89" s="16" t="s">
        <v>4</v>
      </c>
    </row>
    <row r="90">
      <c r="A90" s="14" t="str">
        <f>IFERROR(__xludf.DUMMYFUNCTION("ARRAY_CONSTRAIN(SORT(FILTER('Tax- Data'!A2:E41,'Tax- Data'!E2:E41&gt;8000000),5,TRUE),3,5)"),"Kabir")</f>
        <v>Kabir</v>
      </c>
      <c r="B90" s="14" t="str">
        <f>IFERROR(__xludf.DUMMYFUNCTION("""COMPUTED_VALUE"""),"House Property")</f>
        <v>House Property</v>
      </c>
      <c r="C90" s="18">
        <f>IFERROR(__xludf.DUMMYFUNCTION("""COMPUTED_VALUE"""),8331027.0)</f>
        <v>8331027</v>
      </c>
      <c r="D90" s="17">
        <f>IFERROR(__xludf.DUMMYFUNCTION("""COMPUTED_VALUE"""),0.0353)</f>
        <v>0.0353</v>
      </c>
      <c r="E90" s="14">
        <f>IFERROR(__xludf.DUMMYFUNCTION("""COMPUTED_VALUE"""),8036941.7469)</f>
        <v>8036941.747</v>
      </c>
    </row>
    <row r="91">
      <c r="A91" s="14" t="str">
        <f>IFERROR(__xludf.DUMMYFUNCTION("""COMPUTED_VALUE"""),"Ritu")</f>
        <v>Ritu</v>
      </c>
      <c r="B91" s="14" t="str">
        <f>IFERROR(__xludf.DUMMYFUNCTION("""COMPUTED_VALUE"""),"Other Income")</f>
        <v>Other Income</v>
      </c>
      <c r="C91" s="18">
        <f>IFERROR(__xludf.DUMMYFUNCTION("""COMPUTED_VALUE"""),8077788.0)</f>
        <v>8077788</v>
      </c>
      <c r="D91" s="17">
        <f>IFERROR(__xludf.DUMMYFUNCTION("""COMPUTED_VALUE"""),0.0)</f>
        <v>0</v>
      </c>
      <c r="E91" s="14">
        <f>IFERROR(__xludf.DUMMYFUNCTION("""COMPUTED_VALUE"""),8077788.0)</f>
        <v>8077788</v>
      </c>
    </row>
    <row r="92">
      <c r="A92" s="14" t="str">
        <f>IFERROR(__xludf.DUMMYFUNCTION("""COMPUTED_VALUE"""),"Tarun")</f>
        <v>Tarun</v>
      </c>
      <c r="B92" s="14" t="str">
        <f>IFERROR(__xludf.DUMMYFUNCTION("""COMPUTED_VALUE"""),"Capital Gains")</f>
        <v>Capital Gains</v>
      </c>
      <c r="C92" s="18">
        <f>IFERROR(__xludf.DUMMYFUNCTION("""COMPUTED_VALUE"""),8271578.0)</f>
        <v>8271578</v>
      </c>
      <c r="D92" s="17">
        <f>IFERROR(__xludf.DUMMYFUNCTION("""COMPUTED_VALUE"""),0.0)</f>
        <v>0</v>
      </c>
      <c r="E92" s="14">
        <f>IFERROR(__xludf.DUMMYFUNCTION("""COMPUTED_VALUE"""),8271578.0)</f>
        <v>8271578</v>
      </c>
    </row>
    <row r="94">
      <c r="A94" s="12" t="s">
        <v>112</v>
      </c>
    </row>
    <row r="95">
      <c r="A95" s="12" t="s">
        <v>113</v>
      </c>
      <c r="B95" s="21">
        <v>9000000.0</v>
      </c>
      <c r="C95" s="12" t="s">
        <v>114</v>
      </c>
    </row>
    <row r="96">
      <c r="A96" s="12" t="s">
        <v>113</v>
      </c>
      <c r="B96" s="21">
        <v>5000000.0</v>
      </c>
      <c r="C96" s="12" t="s">
        <v>115</v>
      </c>
    </row>
    <row r="97">
      <c r="A97" s="12" t="s">
        <v>116</v>
      </c>
      <c r="B97" s="21">
        <v>5000000.0</v>
      </c>
      <c r="C97" s="12" t="s">
        <v>117</v>
      </c>
    </row>
    <row r="98">
      <c r="A98" s="12" t="s">
        <v>118</v>
      </c>
    </row>
    <row r="99">
      <c r="A99" s="16" t="s">
        <v>0</v>
      </c>
      <c r="B99" s="16" t="s">
        <v>4</v>
      </c>
      <c r="C99" s="16" t="s">
        <v>119</v>
      </c>
    </row>
    <row r="100">
      <c r="A100" s="14" t="s">
        <v>37</v>
      </c>
      <c r="B100" s="14">
        <f>VLOOKUP(A100,'Tax- Data'!A$2:E$41,5,FALSE)</f>
        <v>6499551</v>
      </c>
      <c r="C100" s="14" t="str">
        <f t="shared" ref="C100:C103" si="4">IFS(B100&gt;=9000000,"Upper Class",B100&gt;=5000000,"Middle Class",B100&lt;5000000,"Lower Class")</f>
        <v>Middle Class</v>
      </c>
    </row>
    <row r="101">
      <c r="A101" s="14" t="s">
        <v>25</v>
      </c>
      <c r="B101" s="14">
        <f>VLOOKUP(A101,'Tax- Data'!A$2:E$41,5,FALSE)</f>
        <v>9735478</v>
      </c>
      <c r="C101" s="14" t="str">
        <f t="shared" si="4"/>
        <v>Upper Class</v>
      </c>
    </row>
    <row r="102">
      <c r="A102" s="14" t="s">
        <v>16</v>
      </c>
      <c r="B102" s="14">
        <f>VLOOKUP(A102,'Tax- Data'!A$2:E$41,5,FALSE)</f>
        <v>3140545</v>
      </c>
      <c r="C102" s="14" t="str">
        <f t="shared" si="4"/>
        <v>Lower Class</v>
      </c>
    </row>
    <row r="103">
      <c r="A103" s="14" t="s">
        <v>6</v>
      </c>
      <c r="B103" s="14">
        <f>VLOOKUP(A103,'Tax- Data'!A$2:E$41,5,FALSE)</f>
        <v>1829023.307</v>
      </c>
      <c r="C103" s="14" t="str">
        <f t="shared" si="4"/>
        <v>Lower Class</v>
      </c>
    </row>
    <row r="105">
      <c r="A105" s="12" t="s">
        <v>120</v>
      </c>
    </row>
    <row r="106">
      <c r="A106" s="12" t="s">
        <v>121</v>
      </c>
      <c r="D106" s="22"/>
    </row>
    <row r="107">
      <c r="A107" s="13" t="s">
        <v>74</v>
      </c>
      <c r="B107" s="14">
        <f>COUNTIFS('Tax- Data'!D2:D41,MAXIFS('Tax- Data'!D2:D41,'Tax- Data'!B2:B41,"Salary"))</f>
        <v>6</v>
      </c>
      <c r="D107" s="22"/>
    </row>
    <row r="109">
      <c r="A109" s="19" t="s">
        <v>122</v>
      </c>
    </row>
    <row r="110">
      <c r="A110" s="20" t="s">
        <v>123</v>
      </c>
    </row>
    <row r="111">
      <c r="A111" s="13" t="s">
        <v>74</v>
      </c>
      <c r="B111" s="14">
        <f>COUNTIFS('Tax- Data'!D2:D41,MINIFS('Tax- Data'!D2:D41,'Tax- Data'!B2:B41,"Capital gains"))</f>
        <v>12</v>
      </c>
    </row>
    <row r="113">
      <c r="A113" s="12" t="s">
        <v>124</v>
      </c>
    </row>
    <row r="114">
      <c r="A114" s="12" t="s">
        <v>125</v>
      </c>
    </row>
    <row r="115">
      <c r="A115" s="16" t="s">
        <v>1</v>
      </c>
      <c r="B115" s="16" t="s">
        <v>4</v>
      </c>
      <c r="C115" s="16" t="s">
        <v>92</v>
      </c>
    </row>
    <row r="116">
      <c r="A116" s="14" t="str">
        <f>IFERROR(__xludf.DUMMYFUNCTION("UNIQUE('Tax- Data'!B2:B41)"),"Business")</f>
        <v>Business</v>
      </c>
      <c r="B116" s="14">
        <f>SUMIFS('Tax- Data'!E$2:E$41,'Tax- Data'!B$2:B$41,A116)</f>
        <v>42675743.71</v>
      </c>
      <c r="C116" s="14" t="str">
        <f t="shared" ref="C116:C120" si="5">IF(B116=MAX(B$116:B$120),"This category generates most tax","-")</f>
        <v>-</v>
      </c>
    </row>
    <row r="117">
      <c r="A117" s="14" t="str">
        <f>IFERROR(__xludf.DUMMYFUNCTION("""COMPUTED_VALUE"""),"Capital Gains")</f>
        <v>Capital Gains</v>
      </c>
      <c r="B117" s="14">
        <f>SUMIFS('Tax- Data'!E$2:E$41,'Tax- Data'!B$2:B$41,A117)</f>
        <v>24239669.29</v>
      </c>
      <c r="C117" s="14" t="str">
        <f t="shared" si="5"/>
        <v>-</v>
      </c>
    </row>
    <row r="118">
      <c r="A118" s="14" t="str">
        <f>IFERROR(__xludf.DUMMYFUNCTION("""COMPUTED_VALUE"""),"Other Income")</f>
        <v>Other Income</v>
      </c>
      <c r="B118" s="14">
        <f>SUMIFS('Tax- Data'!E$2:E$41,'Tax- Data'!B$2:B$41,A118)</f>
        <v>32894230.12</v>
      </c>
      <c r="C118" s="14" t="str">
        <f t="shared" si="5"/>
        <v>-</v>
      </c>
    </row>
    <row r="119">
      <c r="A119" s="14" t="str">
        <f>IFERROR(__xludf.DUMMYFUNCTION("""COMPUTED_VALUE"""),"Salary")</f>
        <v>Salary</v>
      </c>
      <c r="B119" s="14">
        <f>SUMIFS('Tax- Data'!E$2:E$41,'Tax- Data'!B$2:B$41,A119)</f>
        <v>55356462.28</v>
      </c>
      <c r="C119" s="14" t="str">
        <f t="shared" si="5"/>
        <v>This category generates most tax</v>
      </c>
    </row>
    <row r="120">
      <c r="A120" s="14" t="str">
        <f>IFERROR(__xludf.DUMMYFUNCTION("""COMPUTED_VALUE"""),"House Property")</f>
        <v>House Property</v>
      </c>
      <c r="B120" s="14">
        <f>SUMIFS('Tax- Data'!E$2:E$41,'Tax- Data'!B$2:B$41,A120)</f>
        <v>49150854.27</v>
      </c>
      <c r="C120" s="14" t="str">
        <f t="shared" si="5"/>
        <v>-</v>
      </c>
    </row>
  </sheetData>
  <drawing r:id="rId1"/>
</worksheet>
</file>