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chase&amp;Discount- Data" sheetId="1" r:id="rId4"/>
    <sheet state="visible" name="Task 2- Questions" sheetId="2" r:id="rId5"/>
    <sheet state="visible" name="Task 3- Questions" sheetId="3" r:id="rId6"/>
  </sheets>
  <definedNames/>
  <calcPr/>
</workbook>
</file>

<file path=xl/sharedStrings.xml><?xml version="1.0" encoding="utf-8"?>
<sst xmlns="http://schemas.openxmlformats.org/spreadsheetml/2006/main" count="313" uniqueCount="144">
  <si>
    <t>Order ID</t>
  </si>
  <si>
    <t>Purchase Category</t>
  </si>
  <si>
    <t>Purchase Amount</t>
  </si>
  <si>
    <t>Offer</t>
  </si>
  <si>
    <t>Discounted Purchase Price</t>
  </si>
  <si>
    <t>Types of Discounts</t>
  </si>
  <si>
    <t>OD_001</t>
  </si>
  <si>
    <t>Electronics</t>
  </si>
  <si>
    <t>20% off</t>
  </si>
  <si>
    <t>OD_002</t>
  </si>
  <si>
    <t>Grocery</t>
  </si>
  <si>
    <t>Buy 1 Get 1</t>
  </si>
  <si>
    <t>OD_003</t>
  </si>
  <si>
    <t>10% off</t>
  </si>
  <si>
    <t>OD_004</t>
  </si>
  <si>
    <t>Decor</t>
  </si>
  <si>
    <t>Flat Rs. 200 off</t>
  </si>
  <si>
    <t>OD_005</t>
  </si>
  <si>
    <t>OD_006</t>
  </si>
  <si>
    <t>OD_007</t>
  </si>
  <si>
    <t>OD_008</t>
  </si>
  <si>
    <t>Apparels</t>
  </si>
  <si>
    <t>OD_009</t>
  </si>
  <si>
    <t>OD_010</t>
  </si>
  <si>
    <t>OD_011</t>
  </si>
  <si>
    <t>Utility</t>
  </si>
  <si>
    <t>OD_012</t>
  </si>
  <si>
    <t>OD_013</t>
  </si>
  <si>
    <t>OD_014</t>
  </si>
  <si>
    <t>OD_015</t>
  </si>
  <si>
    <t>OD_016</t>
  </si>
  <si>
    <t>OD_017</t>
  </si>
  <si>
    <t>OD_018</t>
  </si>
  <si>
    <t>OD_019</t>
  </si>
  <si>
    <t>OD_020</t>
  </si>
  <si>
    <t>OD_021</t>
  </si>
  <si>
    <t>OD_022</t>
  </si>
  <si>
    <t>OD_023</t>
  </si>
  <si>
    <t>OD_024</t>
  </si>
  <si>
    <t>OD_025</t>
  </si>
  <si>
    <t>OD_026</t>
  </si>
  <si>
    <t>OD_027</t>
  </si>
  <si>
    <t>OD_028</t>
  </si>
  <si>
    <t>OD_029</t>
  </si>
  <si>
    <t>OD_030</t>
  </si>
  <si>
    <t>OD_031</t>
  </si>
  <si>
    <t>OD_032</t>
  </si>
  <si>
    <t>OD_033</t>
  </si>
  <si>
    <t>OD_034</t>
  </si>
  <si>
    <t>OD_035</t>
  </si>
  <si>
    <t>OD_036</t>
  </si>
  <si>
    <t>OD_037</t>
  </si>
  <si>
    <t>OD_038</t>
  </si>
  <si>
    <t>OD_039</t>
  </si>
  <si>
    <t>OD_040</t>
  </si>
  <si>
    <t>OD_041</t>
  </si>
  <si>
    <t>OD_042</t>
  </si>
  <si>
    <t>OD_043</t>
  </si>
  <si>
    <t>OD_044</t>
  </si>
  <si>
    <t>OD_045</t>
  </si>
  <si>
    <t>OD_046</t>
  </si>
  <si>
    <t>OD_047</t>
  </si>
  <si>
    <t>OD_048</t>
  </si>
  <si>
    <t xml:space="preserve">Q1- What is the total purchase amount in the electronics genre with offer of "20% off"? </t>
  </si>
  <si>
    <t>Answer-</t>
  </si>
  <si>
    <t>Q2- Grade the below listed order IDs as "Above Average Order", "Average Order" and "Below Average Order" based on the following conditions</t>
  </si>
  <si>
    <t>Purchase Amount &gt;</t>
  </si>
  <si>
    <t>Above Average Order</t>
  </si>
  <si>
    <t>Average Order</t>
  </si>
  <si>
    <t>Purchase Amount&lt;=</t>
  </si>
  <si>
    <t>Below Average Order</t>
  </si>
  <si>
    <t>Order Grade</t>
  </si>
  <si>
    <t>Q3- Find out the delivery cost for the below listed order IDs given the following conditions</t>
  </si>
  <si>
    <t>Discounted purchase price &gt;</t>
  </si>
  <si>
    <t>Delivery cost = 0</t>
  </si>
  <si>
    <t>Discounted purchase price &lt;=</t>
  </si>
  <si>
    <t>Delivery cost = 100</t>
  </si>
  <si>
    <t>Also calculate the payable amount if payable amount = Discounted purchase price+ Delivery cost</t>
  </si>
  <si>
    <t>Discounted purchase price</t>
  </si>
  <si>
    <t>Delivery cost</t>
  </si>
  <si>
    <t>Payable Amount</t>
  </si>
  <si>
    <t>Q4- Bring the order IDs that have offers of "10% off" and have dicounted purchase price of more than 2500.</t>
  </si>
  <si>
    <t>Q5- Bring a list of all the order IDs in the Electronic purchase category whose discounted purchase price is lesser than 2000.</t>
  </si>
  <si>
    <t>Q6- Find out how many electronic items have a "20% off" offer.</t>
  </si>
  <si>
    <t>Q7- Find out how many Apparel and Utility items have a "Buy 1 Get 1 offer".</t>
  </si>
  <si>
    <t>Q8- Calculate the maximum discounted purchase price of the product whose purchase amount is greater than or equal to 3500.</t>
  </si>
  <si>
    <t>Q9- Calculate the average purchase amount of the category when a "flat Rs. 200 off" is applied.</t>
  </si>
  <si>
    <t>Q10- If the purchase amount of the listed order ID is greater than or equal to 3500 we will name that category as "Above 3500" else "Below 3500".</t>
  </si>
  <si>
    <t>Category</t>
  </si>
  <si>
    <t>Q11- Find the category of listed order ID on the basis of following conditions.</t>
  </si>
  <si>
    <t>If the difference between the purchase price and discounted purchase price is greater than or equal to 500, categorize it as a 'High Discount.</t>
  </si>
  <si>
    <t>If the difference between the purchase price and discounted purchase price is greater than or equal to 225, categorize it as a 'Medium Discount.'</t>
  </si>
  <si>
    <t>If the difference between the purchase price and discounted purchase price is less than 225, categorize it as a 'Low Discount.'"</t>
  </si>
  <si>
    <t>Q12- Calculate the maximum purchase price of products categorized as Grocery.</t>
  </si>
  <si>
    <t>Q13- Ascertain the sale in which order was made for the below listed order IDs given the following conditions-</t>
  </si>
  <si>
    <t>If Discount is "20% off" then "Diwali Sale"</t>
  </si>
  <si>
    <t>If Discount is "Buy 1 Get 1" then "New Year Sale"</t>
  </si>
  <si>
    <t>If any other Disount then "Holi Sale"</t>
  </si>
  <si>
    <t>Fill the below table using Vlookup and Nested If.</t>
  </si>
  <si>
    <t>Discount</t>
  </si>
  <si>
    <t>Sale</t>
  </si>
  <si>
    <t>Q14- How many orders in the apparels category were made in the "20% off" discount offer which had purchase amount of more than Rs. 1000?</t>
  </si>
  <si>
    <t>Q15- Bring a list of all the order IDs in the "Decor" category that also have discount offer of "Buy 1 Get 1" and purchase amount is greater than Rs. 2500.</t>
  </si>
  <si>
    <t xml:space="preserve">Q16- What is the average purchase amount in the electronics category which had discount offer of "Buy 1 Get 1"? </t>
  </si>
  <si>
    <t xml:space="preserve">Answer- </t>
  </si>
  <si>
    <t>Q17- Give remarks for the below list of order IDs as "Order in [Purchase Category] category"</t>
  </si>
  <si>
    <t>Fill the below table to answer this question. First one has been done for you.</t>
  </si>
  <si>
    <t>Order IDs</t>
  </si>
  <si>
    <t>Remarks</t>
  </si>
  <si>
    <t>Q18- What is the maximum discounted purchase price in "Decor" category with offer of "10% off"?</t>
  </si>
  <si>
    <t>Q19- Bring a list of all the order IDs that fall in "Decor" category and have offer of "Flat Rs. 200 off" which has purchase amount of greater than or equal to Rs. 500.</t>
  </si>
  <si>
    <t>Q20- What is the average discounted purchase price in "Grocery" category which has offer of "10% off"?</t>
  </si>
  <si>
    <t>Q1- Bring the order ID with the highest discounted purchase price.</t>
  </si>
  <si>
    <t>Use nested filter and max functions to answer this question</t>
  </si>
  <si>
    <t>Q2- What is the Offer applied on the highest purchase amount?</t>
  </si>
  <si>
    <t>Use nested vlookup and max functions to answer this question.</t>
  </si>
  <si>
    <t>Q3- Bring the order ID for the highest purchase price within the Decor category.</t>
  </si>
  <si>
    <t>Use nested filter and maxifs functions to answer this question.</t>
  </si>
  <si>
    <t>Q4- List the order IDs whose discounted purchase price is greater than or equal to 2500. Also, sort these order IDs in descending order of their discounted purchase price and bring the top 5 order IDs.</t>
  </si>
  <si>
    <t>Use nested array_constrain, sort and filters functions to answer this question.</t>
  </si>
  <si>
    <t>Q5- If the discount of the listed product is greater than or equal to 600 then it will be categorise as "Buy" else "Leave".</t>
  </si>
  <si>
    <t>Fill the below table using nested If and Vlookup functions.</t>
  </si>
  <si>
    <t>Q6- If the purchase amount for a category is greater or equal to the average purchase amount of all the categories in the below table, it's labeled "High purchase amount"; otherwise, it's "Low purchase amount"</t>
  </si>
  <si>
    <t xml:space="preserve">Fill the table given below to answer this question using Nested If and average function- </t>
  </si>
  <si>
    <t>Allocation</t>
  </si>
  <si>
    <t>Q7- Which order ID has the lowest Discounted purchase price?</t>
  </si>
  <si>
    <t>Use nested filter and min function to answer this question.</t>
  </si>
  <si>
    <t>Q8- Bring the list of least 5 order IDs in the Electronic category based on their purchase amount.</t>
  </si>
  <si>
    <t xml:space="preserve">Q9- Find out which Order ID which had the highest discounted purchase price amongst the Oder IDs which had the highest purchase amount. </t>
  </si>
  <si>
    <t>Use nested filter, maxifs and max functions to solve this question</t>
  </si>
  <si>
    <t>Q10- Bring a list of top 3 order IDs in the Grocery category that have highest discounted purchase amount.</t>
  </si>
  <si>
    <t>Q11- Find out which Order ID had the lowest purchase amount amongst Order IDs which had discount offer of "10% off".</t>
  </si>
  <si>
    <t>Use nested filter and minifs functions to solve this question</t>
  </si>
  <si>
    <t>Q12- Which is discount offer is availed the maximum number of times?</t>
  </si>
  <si>
    <t>If availed the maximum of times then "Yes" else "No".</t>
  </si>
  <si>
    <t>Number of times availed</t>
  </si>
  <si>
    <t>Yes/ No</t>
  </si>
  <si>
    <t>Q13- What is the order ID with the least discounted purchase price in the "Utility" category?</t>
  </si>
  <si>
    <t>Use nested filter and minifs functions to solve this question.</t>
  </si>
  <si>
    <t xml:space="preserve">Q14- What is the average discount given in the "Electronics" category? (Discount= Purchase Amount- Discounted purchase price) </t>
  </si>
  <si>
    <t>Use averageifs function to answer this question (Note- take difference of average purchase amount and average discounted purchase price)</t>
  </si>
  <si>
    <t>Q15- Which purchase category has the highest count of orders?</t>
  </si>
  <si>
    <t>If count is the maximum in the category then "Yes" else "No".</t>
  </si>
  <si>
    <t>Count of orders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</si>
</sst>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rgb="FF000000"/>
      <name val="Arial"/>
    </font>
    <font>
      <color theme="1"/>
      <name val="Arial"/>
    </font>
    <font>
      <b/>
      <color theme="1"/>
      <name val="Arial"/>
    </font>
  </fonts>
  <fills count="5">
    <fill>
      <patternFill patternType="none"/>
    </fill>
    <fill>
      <patternFill patternType="lightGray"/>
    </fill>
    <fill>
      <patternFill patternType="solid">
        <fgColor rgb="FFCCCCCC"/>
        <bgColor rgb="FFCCCCCC"/>
      </patternFill>
    </fill>
    <fill>
      <patternFill patternType="solid">
        <fgColor rgb="FFF9CB9C"/>
        <bgColor rgb="FFF9CB9C"/>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1" fillId="2" fontId="1" numFmtId="0" xfId="0" applyAlignment="1" applyBorder="1" applyFont="1">
      <alignment readingOrder="0"/>
    </xf>
    <xf borderId="0" fillId="3" fontId="2" numFmtId="0" xfId="0" applyAlignment="1" applyFill="1" applyFont="1">
      <alignment readingOrder="0"/>
    </xf>
    <xf borderId="0" fillId="3" fontId="2" numFmtId="0" xfId="0" applyFont="1"/>
    <xf borderId="0" fillId="0" fontId="2" numFmtId="0" xfId="0" applyFont="1"/>
    <xf borderId="1" fillId="0" fontId="2" numFmtId="0" xfId="0" applyBorder="1" applyFont="1"/>
    <xf borderId="0" fillId="0" fontId="2" numFmtId="0" xfId="0" applyAlignment="1" applyFont="1">
      <alignment readingOrder="0"/>
    </xf>
    <xf borderId="0" fillId="4" fontId="3" numFmtId="0" xfId="0" applyAlignment="1" applyFill="1" applyFont="1">
      <alignment horizontal="left" readingOrder="0"/>
    </xf>
    <xf borderId="1" fillId="0" fontId="2" numFmtId="0" xfId="0" applyAlignment="1" applyBorder="1" applyFont="1">
      <alignment readingOrder="0"/>
    </xf>
    <xf borderId="0" fillId="0" fontId="4" numFmtId="0" xfId="0" applyAlignment="1" applyFont="1">
      <alignment shrinkToFit="0" vertical="bottom" wrapText="0"/>
    </xf>
    <xf borderId="0" fillId="0" fontId="4" numFmtId="0" xfId="0" applyAlignment="1" applyFont="1">
      <alignment vertical="bottom"/>
    </xf>
    <xf borderId="2" fillId="0" fontId="4" numFmtId="0" xfId="0" applyAlignment="1" applyBorder="1" applyFont="1">
      <alignment vertical="bottom"/>
    </xf>
    <xf borderId="3" fillId="0" fontId="5" numFmtId="0" xfId="0" applyAlignment="1" applyBorder="1" applyFont="1">
      <alignment vertical="bottom"/>
    </xf>
    <xf borderId="4" fillId="0" fontId="4" numFmtId="0" xfId="0" applyAlignment="1" applyBorder="1" applyFont="1">
      <alignment vertical="bottom"/>
    </xf>
    <xf borderId="3" fillId="0" fontId="4" numFmtId="0" xfId="0" applyAlignment="1" applyBorder="1" applyFont="1">
      <alignment vertical="bottom"/>
    </xf>
    <xf borderId="2" fillId="4" fontId="4" numFmtId="0" xfId="0" applyAlignment="1" applyBorder="1" applyFont="1">
      <alignment shrinkToFit="0" vertical="bottom" wrapText="0"/>
    </xf>
    <xf borderId="2" fillId="4" fontId="4" numFmtId="0" xfId="0" applyAlignment="1" applyBorder="1" applyFont="1">
      <alignment vertical="bottom"/>
    </xf>
    <xf borderId="0" fillId="4" fontId="4" numFmtId="0" xfId="0" applyAlignment="1" applyFont="1">
      <alignment vertical="bottom"/>
    </xf>
    <xf borderId="5" fillId="2" fontId="5" numFmtId="0" xfId="0" applyAlignment="1" applyBorder="1" applyFont="1">
      <alignment vertical="bottom"/>
    </xf>
    <xf borderId="4" fillId="2" fontId="5" numFmtId="0" xfId="0" applyAlignment="1" applyBorder="1" applyFont="1">
      <alignment vertical="bottom"/>
    </xf>
    <xf borderId="5" fillId="0" fontId="4" numFmtId="0" xfId="0" applyAlignment="1" applyBorder="1" applyFont="1">
      <alignment vertical="bottom"/>
    </xf>
    <xf borderId="4" fillId="0" fontId="4" numFmtId="0" xfId="0" applyAlignment="1" applyBorder="1" applyFont="1">
      <alignment readingOrder="0" vertical="bottom"/>
    </xf>
    <xf borderId="4" fillId="0" fontId="4" numFmtId="0" xfId="0" applyAlignment="1" applyBorder="1" applyFont="1">
      <alignment horizontal="right" vertical="bottom"/>
    </xf>
    <xf borderId="2" fillId="0" fontId="4" numFmtId="0" xfId="0" applyAlignment="1" applyBorder="1" applyFont="1">
      <alignment shrinkToFit="0" vertical="bottom" wrapText="0"/>
    </xf>
    <xf borderId="0" fillId="0" fontId="4" numFmtId="0" xfId="0" applyAlignment="1" applyFont="1">
      <alignment vertical="bottom"/>
    </xf>
    <xf borderId="3" fillId="0" fontId="5" numFmtId="0" xfId="0" applyAlignment="1" applyBorder="1" applyFont="1">
      <alignment vertical="bottom"/>
    </xf>
    <xf borderId="0" fillId="0" fontId="4" numFmtId="0" xfId="0" applyAlignment="1" applyFont="1">
      <alignment shrinkToFit="0" vertical="bottom" wrapText="0"/>
    </xf>
    <xf borderId="3" fillId="0" fontId="4" numFmtId="0" xfId="0" applyAlignment="1" applyBorder="1" applyFont="1">
      <alignment vertical="bottom"/>
    </xf>
    <xf borderId="0" fillId="4" fontId="4" numFmtId="0" xfId="0" applyAlignment="1" applyFont="1">
      <alignment shrinkToFit="0" vertical="bottom" wrapText="0"/>
    </xf>
    <xf borderId="0" fillId="4" fontId="4" numFmtId="0" xfId="0" applyAlignment="1" applyFont="1">
      <alignment shrinkToFit="0" vertical="bottom" wrapText="0"/>
    </xf>
    <xf borderId="5" fillId="2" fontId="5" numFmtId="0" xfId="0" applyAlignment="1" applyBorder="1" applyFont="1">
      <alignment vertical="bottom"/>
    </xf>
    <xf borderId="4" fillId="2" fontId="5" numFmtId="0" xfId="0" applyAlignment="1" applyBorder="1" applyFont="1">
      <alignment vertical="bottom"/>
    </xf>
    <xf borderId="5" fillId="0" fontId="4" numFmtId="0" xfId="0" applyAlignment="1" applyBorder="1" applyFont="1">
      <alignment vertical="bottom"/>
    </xf>
    <xf borderId="4" fillId="0"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15.25"/>
    <col customWidth="1" min="5" max="5" width="22.63"/>
    <col customWidth="1" min="7" max="7" width="14.88"/>
    <col customWidth="1" min="9" max="9" width="16.25"/>
  </cols>
  <sheetData>
    <row r="1">
      <c r="A1" s="1" t="s">
        <v>0</v>
      </c>
      <c r="B1" s="1" t="s">
        <v>1</v>
      </c>
      <c r="C1" s="1" t="s">
        <v>2</v>
      </c>
      <c r="D1" s="1" t="s">
        <v>3</v>
      </c>
      <c r="E1" s="2" t="s">
        <v>4</v>
      </c>
      <c r="I1" s="3" t="s">
        <v>5</v>
      </c>
    </row>
    <row r="2">
      <c r="A2" s="4" t="s">
        <v>6</v>
      </c>
      <c r="B2" s="4" t="s">
        <v>7</v>
      </c>
      <c r="C2" s="5">
        <v>3315.0</v>
      </c>
      <c r="D2" s="4" t="s">
        <v>8</v>
      </c>
      <c r="E2" s="6">
        <f t="shared" ref="E2:E49" si="1">IFS(D2=I$2,C2*(1-20%),D2=I$3,C2/2,D2=I$4,C2*(1-10%),D2=I$5,C2-200)</f>
        <v>2652</v>
      </c>
      <c r="F2" s="6">
        <f t="shared" ref="F2:F49" si="2">C2-E2</f>
        <v>663</v>
      </c>
      <c r="I2" s="7" t="s">
        <v>8</v>
      </c>
    </row>
    <row r="3">
      <c r="A3" s="4" t="s">
        <v>9</v>
      </c>
      <c r="B3" s="4" t="s">
        <v>10</v>
      </c>
      <c r="C3" s="5">
        <v>495.0</v>
      </c>
      <c r="D3" s="4" t="s">
        <v>11</v>
      </c>
      <c r="E3" s="6">
        <f t="shared" si="1"/>
        <v>247.5</v>
      </c>
      <c r="F3" s="6">
        <f t="shared" si="2"/>
        <v>247.5</v>
      </c>
      <c r="I3" s="7" t="s">
        <v>11</v>
      </c>
    </row>
    <row r="4">
      <c r="A4" s="4" t="s">
        <v>12</v>
      </c>
      <c r="B4" s="4" t="s">
        <v>7</v>
      </c>
      <c r="C4" s="5">
        <v>3242.0</v>
      </c>
      <c r="D4" s="4" t="s">
        <v>13</v>
      </c>
      <c r="E4" s="6">
        <f t="shared" si="1"/>
        <v>2917.8</v>
      </c>
      <c r="F4" s="6">
        <f t="shared" si="2"/>
        <v>324.2</v>
      </c>
      <c r="I4" s="7" t="s">
        <v>13</v>
      </c>
    </row>
    <row r="5">
      <c r="A5" s="4" t="s">
        <v>14</v>
      </c>
      <c r="B5" s="4" t="s">
        <v>15</v>
      </c>
      <c r="C5" s="5">
        <v>800.0</v>
      </c>
      <c r="D5" s="4" t="s">
        <v>16</v>
      </c>
      <c r="E5" s="6">
        <f t="shared" si="1"/>
        <v>600</v>
      </c>
      <c r="F5" s="6">
        <f t="shared" si="2"/>
        <v>200</v>
      </c>
      <c r="I5" s="7" t="s">
        <v>16</v>
      </c>
    </row>
    <row r="6">
      <c r="A6" s="4" t="s">
        <v>17</v>
      </c>
      <c r="B6" s="4" t="s">
        <v>10</v>
      </c>
      <c r="C6" s="5">
        <v>4567.0</v>
      </c>
      <c r="D6" s="5" t="s">
        <v>8</v>
      </c>
      <c r="E6" s="6">
        <f t="shared" si="1"/>
        <v>3653.6</v>
      </c>
      <c r="F6" s="6">
        <f t="shared" si="2"/>
        <v>913.4</v>
      </c>
    </row>
    <row r="7">
      <c r="A7" s="4" t="s">
        <v>18</v>
      </c>
      <c r="B7" s="4" t="s">
        <v>10</v>
      </c>
      <c r="C7" s="5">
        <v>2865.0</v>
      </c>
      <c r="D7" s="5" t="s">
        <v>11</v>
      </c>
      <c r="E7" s="6">
        <f t="shared" si="1"/>
        <v>1432.5</v>
      </c>
      <c r="F7" s="6">
        <f t="shared" si="2"/>
        <v>1432.5</v>
      </c>
    </row>
    <row r="8">
      <c r="A8" s="4" t="s">
        <v>19</v>
      </c>
      <c r="B8" s="4" t="s">
        <v>15</v>
      </c>
      <c r="C8" s="5">
        <v>2591.0</v>
      </c>
      <c r="D8" s="5" t="s">
        <v>11</v>
      </c>
      <c r="E8" s="6">
        <f t="shared" si="1"/>
        <v>1295.5</v>
      </c>
      <c r="F8" s="6">
        <f t="shared" si="2"/>
        <v>1295.5</v>
      </c>
    </row>
    <row r="9">
      <c r="A9" s="4" t="s">
        <v>20</v>
      </c>
      <c r="B9" s="4" t="s">
        <v>21</v>
      </c>
      <c r="C9" s="5">
        <v>1809.0</v>
      </c>
      <c r="D9" s="5" t="s">
        <v>8</v>
      </c>
      <c r="E9" s="6">
        <f t="shared" si="1"/>
        <v>1447.2</v>
      </c>
      <c r="F9" s="6">
        <f t="shared" si="2"/>
        <v>361.8</v>
      </c>
    </row>
    <row r="10">
      <c r="A10" s="4" t="s">
        <v>22</v>
      </c>
      <c r="B10" s="4" t="s">
        <v>15</v>
      </c>
      <c r="C10" s="5">
        <v>414.0</v>
      </c>
      <c r="D10" s="5" t="s">
        <v>11</v>
      </c>
      <c r="E10" s="6">
        <f t="shared" si="1"/>
        <v>207</v>
      </c>
      <c r="F10" s="6">
        <f t="shared" si="2"/>
        <v>207</v>
      </c>
    </row>
    <row r="11">
      <c r="A11" s="4" t="s">
        <v>23</v>
      </c>
      <c r="B11" s="4" t="s">
        <v>15</v>
      </c>
      <c r="C11" s="5">
        <v>1794.0</v>
      </c>
      <c r="D11" s="5" t="s">
        <v>8</v>
      </c>
      <c r="E11" s="6">
        <f t="shared" si="1"/>
        <v>1435.2</v>
      </c>
      <c r="F11" s="6">
        <f t="shared" si="2"/>
        <v>358.8</v>
      </c>
    </row>
    <row r="12">
      <c r="A12" s="4" t="s">
        <v>24</v>
      </c>
      <c r="B12" s="4" t="s">
        <v>25</v>
      </c>
      <c r="C12" s="5">
        <v>1753.0</v>
      </c>
      <c r="D12" s="5" t="s">
        <v>16</v>
      </c>
      <c r="E12" s="6">
        <f t="shared" si="1"/>
        <v>1553</v>
      </c>
      <c r="F12" s="6">
        <f t="shared" si="2"/>
        <v>200</v>
      </c>
    </row>
    <row r="13">
      <c r="A13" s="4" t="s">
        <v>26</v>
      </c>
      <c r="B13" s="4" t="s">
        <v>10</v>
      </c>
      <c r="C13" s="5">
        <v>2273.0</v>
      </c>
      <c r="D13" s="5" t="s">
        <v>13</v>
      </c>
      <c r="E13" s="6">
        <f t="shared" si="1"/>
        <v>2045.7</v>
      </c>
      <c r="F13" s="6">
        <f t="shared" si="2"/>
        <v>227.3</v>
      </c>
    </row>
    <row r="14">
      <c r="A14" s="4" t="s">
        <v>27</v>
      </c>
      <c r="B14" s="4" t="s">
        <v>25</v>
      </c>
      <c r="C14" s="5">
        <v>3010.0</v>
      </c>
      <c r="D14" s="5" t="s">
        <v>16</v>
      </c>
      <c r="E14" s="6">
        <f t="shared" si="1"/>
        <v>2810</v>
      </c>
      <c r="F14" s="6">
        <f t="shared" si="2"/>
        <v>200</v>
      </c>
    </row>
    <row r="15">
      <c r="A15" s="4" t="s">
        <v>28</v>
      </c>
      <c r="B15" s="4" t="s">
        <v>21</v>
      </c>
      <c r="C15" s="5">
        <v>4981.0</v>
      </c>
      <c r="D15" s="5" t="s">
        <v>16</v>
      </c>
      <c r="E15" s="6">
        <f t="shared" si="1"/>
        <v>4781</v>
      </c>
      <c r="F15" s="6">
        <f t="shared" si="2"/>
        <v>200</v>
      </c>
    </row>
    <row r="16">
      <c r="A16" s="4" t="s">
        <v>29</v>
      </c>
      <c r="B16" s="4" t="s">
        <v>15</v>
      </c>
      <c r="C16" s="5">
        <v>955.0</v>
      </c>
      <c r="D16" s="5" t="s">
        <v>13</v>
      </c>
      <c r="E16" s="6">
        <f t="shared" si="1"/>
        <v>859.5</v>
      </c>
      <c r="F16" s="6">
        <f t="shared" si="2"/>
        <v>95.5</v>
      </c>
    </row>
    <row r="17">
      <c r="A17" s="4" t="s">
        <v>30</v>
      </c>
      <c r="B17" s="4" t="s">
        <v>25</v>
      </c>
      <c r="C17" s="5">
        <v>1340.0</v>
      </c>
      <c r="D17" s="5" t="s">
        <v>11</v>
      </c>
      <c r="E17" s="6">
        <f t="shared" si="1"/>
        <v>670</v>
      </c>
      <c r="F17" s="6">
        <f t="shared" si="2"/>
        <v>670</v>
      </c>
    </row>
    <row r="18">
      <c r="A18" s="4" t="s">
        <v>31</v>
      </c>
      <c r="B18" s="4" t="s">
        <v>25</v>
      </c>
      <c r="C18" s="5">
        <v>3940.0</v>
      </c>
      <c r="D18" s="5" t="s">
        <v>11</v>
      </c>
      <c r="E18" s="6">
        <f t="shared" si="1"/>
        <v>1970</v>
      </c>
      <c r="F18" s="6">
        <f t="shared" si="2"/>
        <v>1970</v>
      </c>
    </row>
    <row r="19">
      <c r="A19" s="4" t="s">
        <v>32</v>
      </c>
      <c r="B19" s="4" t="s">
        <v>10</v>
      </c>
      <c r="C19" s="5">
        <v>4406.0</v>
      </c>
      <c r="D19" s="5" t="s">
        <v>16</v>
      </c>
      <c r="E19" s="6">
        <f t="shared" si="1"/>
        <v>4206</v>
      </c>
      <c r="F19" s="6">
        <f t="shared" si="2"/>
        <v>200</v>
      </c>
    </row>
    <row r="20">
      <c r="A20" s="4" t="s">
        <v>33</v>
      </c>
      <c r="B20" s="4" t="s">
        <v>10</v>
      </c>
      <c r="C20" s="5">
        <v>4523.0</v>
      </c>
      <c r="D20" s="5" t="s">
        <v>8</v>
      </c>
      <c r="E20" s="6">
        <f t="shared" si="1"/>
        <v>3618.4</v>
      </c>
      <c r="F20" s="6">
        <f t="shared" si="2"/>
        <v>904.6</v>
      </c>
    </row>
    <row r="21">
      <c r="A21" s="4" t="s">
        <v>34</v>
      </c>
      <c r="B21" s="4" t="s">
        <v>25</v>
      </c>
      <c r="C21" s="5">
        <v>3969.0</v>
      </c>
      <c r="D21" s="5" t="s">
        <v>11</v>
      </c>
      <c r="E21" s="6">
        <f t="shared" si="1"/>
        <v>1984.5</v>
      </c>
      <c r="F21" s="6">
        <f t="shared" si="2"/>
        <v>1984.5</v>
      </c>
    </row>
    <row r="22">
      <c r="A22" s="4" t="s">
        <v>35</v>
      </c>
      <c r="B22" s="4" t="s">
        <v>15</v>
      </c>
      <c r="C22" s="5">
        <v>4044.0</v>
      </c>
      <c r="D22" s="5" t="s">
        <v>8</v>
      </c>
      <c r="E22" s="6">
        <f t="shared" si="1"/>
        <v>3235.2</v>
      </c>
      <c r="F22" s="6">
        <f t="shared" si="2"/>
        <v>808.8</v>
      </c>
    </row>
    <row r="23">
      <c r="A23" s="4" t="s">
        <v>36</v>
      </c>
      <c r="B23" s="4" t="s">
        <v>15</v>
      </c>
      <c r="C23" s="5">
        <v>1446.0</v>
      </c>
      <c r="D23" s="5" t="s">
        <v>13</v>
      </c>
      <c r="E23" s="6">
        <f t="shared" si="1"/>
        <v>1301.4</v>
      </c>
      <c r="F23" s="6">
        <f t="shared" si="2"/>
        <v>144.6</v>
      </c>
    </row>
    <row r="24">
      <c r="A24" s="4" t="s">
        <v>37</v>
      </c>
      <c r="B24" s="4" t="s">
        <v>25</v>
      </c>
      <c r="C24" s="5">
        <v>951.0</v>
      </c>
      <c r="D24" s="5" t="s">
        <v>8</v>
      </c>
      <c r="E24" s="6">
        <f t="shared" si="1"/>
        <v>760.8</v>
      </c>
      <c r="F24" s="6">
        <f t="shared" si="2"/>
        <v>190.2</v>
      </c>
    </row>
    <row r="25">
      <c r="A25" s="4" t="s">
        <v>38</v>
      </c>
      <c r="B25" s="4" t="s">
        <v>10</v>
      </c>
      <c r="C25" s="5">
        <v>3855.0</v>
      </c>
      <c r="D25" s="5" t="s">
        <v>11</v>
      </c>
      <c r="E25" s="6">
        <f t="shared" si="1"/>
        <v>1927.5</v>
      </c>
      <c r="F25" s="6">
        <f t="shared" si="2"/>
        <v>1927.5</v>
      </c>
    </row>
    <row r="26">
      <c r="A26" s="4" t="s">
        <v>39</v>
      </c>
      <c r="B26" s="4" t="s">
        <v>25</v>
      </c>
      <c r="C26" s="5">
        <v>3477.0</v>
      </c>
      <c r="D26" s="5" t="s">
        <v>8</v>
      </c>
      <c r="E26" s="6">
        <f t="shared" si="1"/>
        <v>2781.6</v>
      </c>
      <c r="F26" s="6">
        <f t="shared" si="2"/>
        <v>695.4</v>
      </c>
    </row>
    <row r="27">
      <c r="A27" s="4" t="s">
        <v>40</v>
      </c>
      <c r="B27" s="4" t="s">
        <v>21</v>
      </c>
      <c r="C27" s="5">
        <v>2167.0</v>
      </c>
      <c r="D27" s="5" t="s">
        <v>11</v>
      </c>
      <c r="E27" s="6">
        <f t="shared" si="1"/>
        <v>1083.5</v>
      </c>
      <c r="F27" s="6">
        <f t="shared" si="2"/>
        <v>1083.5</v>
      </c>
    </row>
    <row r="28">
      <c r="A28" s="4" t="s">
        <v>41</v>
      </c>
      <c r="B28" s="4" t="s">
        <v>10</v>
      </c>
      <c r="C28" s="5">
        <v>3144.0</v>
      </c>
      <c r="D28" s="5" t="s">
        <v>16</v>
      </c>
      <c r="E28" s="6">
        <f t="shared" si="1"/>
        <v>2944</v>
      </c>
      <c r="F28" s="6">
        <f t="shared" si="2"/>
        <v>200</v>
      </c>
    </row>
    <row r="29">
      <c r="A29" s="4" t="s">
        <v>42</v>
      </c>
      <c r="B29" s="4" t="s">
        <v>21</v>
      </c>
      <c r="C29" s="5">
        <v>1911.0</v>
      </c>
      <c r="D29" s="5" t="s">
        <v>11</v>
      </c>
      <c r="E29" s="6">
        <f t="shared" si="1"/>
        <v>955.5</v>
      </c>
      <c r="F29" s="6">
        <f t="shared" si="2"/>
        <v>955.5</v>
      </c>
    </row>
    <row r="30">
      <c r="A30" s="4" t="s">
        <v>43</v>
      </c>
      <c r="B30" s="4" t="s">
        <v>21</v>
      </c>
      <c r="C30" s="5">
        <v>632.0</v>
      </c>
      <c r="D30" s="5" t="s">
        <v>11</v>
      </c>
      <c r="E30" s="6">
        <f t="shared" si="1"/>
        <v>316</v>
      </c>
      <c r="F30" s="6">
        <f t="shared" si="2"/>
        <v>316</v>
      </c>
    </row>
    <row r="31">
      <c r="A31" s="4" t="s">
        <v>44</v>
      </c>
      <c r="B31" s="4" t="s">
        <v>7</v>
      </c>
      <c r="C31" s="5">
        <v>3596.0</v>
      </c>
      <c r="D31" s="5" t="s">
        <v>16</v>
      </c>
      <c r="E31" s="6">
        <f t="shared" si="1"/>
        <v>3396</v>
      </c>
      <c r="F31" s="6">
        <f t="shared" si="2"/>
        <v>200</v>
      </c>
    </row>
    <row r="32">
      <c r="A32" s="4" t="s">
        <v>45</v>
      </c>
      <c r="B32" s="4" t="s">
        <v>7</v>
      </c>
      <c r="C32" s="5">
        <v>3747.0</v>
      </c>
      <c r="D32" s="5" t="s">
        <v>8</v>
      </c>
      <c r="E32" s="6">
        <f t="shared" si="1"/>
        <v>2997.6</v>
      </c>
      <c r="F32" s="6">
        <f t="shared" si="2"/>
        <v>749.4</v>
      </c>
    </row>
    <row r="33">
      <c r="A33" s="4" t="s">
        <v>46</v>
      </c>
      <c r="B33" s="4" t="s">
        <v>21</v>
      </c>
      <c r="C33" s="5">
        <v>2030.0</v>
      </c>
      <c r="D33" s="5" t="s">
        <v>13</v>
      </c>
      <c r="E33" s="6">
        <f t="shared" si="1"/>
        <v>1827</v>
      </c>
      <c r="F33" s="6">
        <f t="shared" si="2"/>
        <v>203</v>
      </c>
    </row>
    <row r="34">
      <c r="A34" s="4" t="s">
        <v>47</v>
      </c>
      <c r="B34" s="4" t="s">
        <v>10</v>
      </c>
      <c r="C34" s="5">
        <v>4261.0</v>
      </c>
      <c r="D34" s="5" t="s">
        <v>11</v>
      </c>
      <c r="E34" s="6">
        <f t="shared" si="1"/>
        <v>2130.5</v>
      </c>
      <c r="F34" s="6">
        <f t="shared" si="2"/>
        <v>2130.5</v>
      </c>
    </row>
    <row r="35">
      <c r="A35" s="4" t="s">
        <v>48</v>
      </c>
      <c r="B35" s="4" t="s">
        <v>7</v>
      </c>
      <c r="C35" s="5">
        <v>1903.0</v>
      </c>
      <c r="D35" s="5" t="s">
        <v>8</v>
      </c>
      <c r="E35" s="6">
        <f t="shared" si="1"/>
        <v>1522.4</v>
      </c>
      <c r="F35" s="6">
        <f t="shared" si="2"/>
        <v>380.6</v>
      </c>
    </row>
    <row r="36">
      <c r="A36" s="4" t="s">
        <v>49</v>
      </c>
      <c r="B36" s="4" t="s">
        <v>7</v>
      </c>
      <c r="C36" s="5">
        <v>4294.0</v>
      </c>
      <c r="D36" s="5" t="s">
        <v>11</v>
      </c>
      <c r="E36" s="6">
        <f t="shared" si="1"/>
        <v>2147</v>
      </c>
      <c r="F36" s="6">
        <f t="shared" si="2"/>
        <v>2147</v>
      </c>
    </row>
    <row r="37">
      <c r="A37" s="4" t="s">
        <v>50</v>
      </c>
      <c r="B37" s="4" t="s">
        <v>15</v>
      </c>
      <c r="C37" s="5">
        <v>3945.0</v>
      </c>
      <c r="D37" s="5" t="s">
        <v>8</v>
      </c>
      <c r="E37" s="6">
        <f t="shared" si="1"/>
        <v>3156</v>
      </c>
      <c r="F37" s="6">
        <f t="shared" si="2"/>
        <v>789</v>
      </c>
    </row>
    <row r="38">
      <c r="A38" s="4" t="s">
        <v>51</v>
      </c>
      <c r="B38" s="4" t="s">
        <v>21</v>
      </c>
      <c r="C38" s="5">
        <v>1594.0</v>
      </c>
      <c r="D38" s="5" t="s">
        <v>8</v>
      </c>
      <c r="E38" s="6">
        <f t="shared" si="1"/>
        <v>1275.2</v>
      </c>
      <c r="F38" s="6">
        <f t="shared" si="2"/>
        <v>318.8</v>
      </c>
    </row>
    <row r="39">
      <c r="A39" s="4" t="s">
        <v>52</v>
      </c>
      <c r="B39" s="4" t="s">
        <v>21</v>
      </c>
      <c r="C39" s="5">
        <v>1021.0</v>
      </c>
      <c r="D39" s="5" t="s">
        <v>13</v>
      </c>
      <c r="E39" s="6">
        <f t="shared" si="1"/>
        <v>918.9</v>
      </c>
      <c r="F39" s="6">
        <f t="shared" si="2"/>
        <v>102.1</v>
      </c>
    </row>
    <row r="40">
      <c r="A40" s="4" t="s">
        <v>53</v>
      </c>
      <c r="B40" s="4" t="s">
        <v>10</v>
      </c>
      <c r="C40" s="5">
        <v>4279.0</v>
      </c>
      <c r="D40" s="5" t="s">
        <v>16</v>
      </c>
      <c r="E40" s="6">
        <f t="shared" si="1"/>
        <v>4079</v>
      </c>
      <c r="F40" s="6">
        <f t="shared" si="2"/>
        <v>200</v>
      </c>
    </row>
    <row r="41">
      <c r="A41" s="4" t="s">
        <v>54</v>
      </c>
      <c r="B41" s="4" t="s">
        <v>15</v>
      </c>
      <c r="C41" s="5">
        <v>2986.0</v>
      </c>
      <c r="D41" s="5" t="s">
        <v>8</v>
      </c>
      <c r="E41" s="6">
        <f t="shared" si="1"/>
        <v>2388.8</v>
      </c>
      <c r="F41" s="6">
        <f t="shared" si="2"/>
        <v>597.2</v>
      </c>
    </row>
    <row r="42">
      <c r="A42" s="4" t="s">
        <v>55</v>
      </c>
      <c r="B42" s="4" t="s">
        <v>21</v>
      </c>
      <c r="C42" s="5">
        <v>1654.0</v>
      </c>
      <c r="D42" s="5" t="s">
        <v>16</v>
      </c>
      <c r="E42" s="6">
        <f t="shared" si="1"/>
        <v>1454</v>
      </c>
      <c r="F42" s="6">
        <f t="shared" si="2"/>
        <v>200</v>
      </c>
    </row>
    <row r="43">
      <c r="A43" s="4" t="s">
        <v>56</v>
      </c>
      <c r="B43" s="4" t="s">
        <v>25</v>
      </c>
      <c r="C43" s="5">
        <v>1371.0</v>
      </c>
      <c r="D43" s="5" t="s">
        <v>16</v>
      </c>
      <c r="E43" s="6">
        <f t="shared" si="1"/>
        <v>1171</v>
      </c>
      <c r="F43" s="6">
        <f t="shared" si="2"/>
        <v>200</v>
      </c>
    </row>
    <row r="44">
      <c r="A44" s="4" t="s">
        <v>57</v>
      </c>
      <c r="B44" s="4" t="s">
        <v>10</v>
      </c>
      <c r="C44" s="5">
        <v>3468.0</v>
      </c>
      <c r="D44" s="5" t="s">
        <v>16</v>
      </c>
      <c r="E44" s="6">
        <f t="shared" si="1"/>
        <v>3268</v>
      </c>
      <c r="F44" s="6">
        <f t="shared" si="2"/>
        <v>200</v>
      </c>
    </row>
    <row r="45">
      <c r="A45" s="4" t="s">
        <v>58</v>
      </c>
      <c r="B45" s="4" t="s">
        <v>10</v>
      </c>
      <c r="C45" s="5">
        <v>1400.0</v>
      </c>
      <c r="D45" s="5" t="s">
        <v>16</v>
      </c>
      <c r="E45" s="6">
        <f t="shared" si="1"/>
        <v>1200</v>
      </c>
      <c r="F45" s="6">
        <f t="shared" si="2"/>
        <v>200</v>
      </c>
    </row>
    <row r="46">
      <c r="A46" s="4" t="s">
        <v>59</v>
      </c>
      <c r="B46" s="4" t="s">
        <v>21</v>
      </c>
      <c r="C46" s="5">
        <v>550.0</v>
      </c>
      <c r="D46" s="5" t="s">
        <v>8</v>
      </c>
      <c r="E46" s="6">
        <f t="shared" si="1"/>
        <v>440</v>
      </c>
      <c r="F46" s="6">
        <f t="shared" si="2"/>
        <v>110</v>
      </c>
    </row>
    <row r="47">
      <c r="A47" s="4" t="s">
        <v>60</v>
      </c>
      <c r="B47" s="4" t="s">
        <v>7</v>
      </c>
      <c r="C47" s="5">
        <v>3005.0</v>
      </c>
      <c r="D47" s="5" t="s">
        <v>8</v>
      </c>
      <c r="E47" s="6">
        <f t="shared" si="1"/>
        <v>2404</v>
      </c>
      <c r="F47" s="6">
        <f t="shared" si="2"/>
        <v>601</v>
      </c>
    </row>
    <row r="48">
      <c r="A48" s="4" t="s">
        <v>61</v>
      </c>
      <c r="B48" s="4" t="s">
        <v>10</v>
      </c>
      <c r="C48" s="5">
        <v>4919.0</v>
      </c>
      <c r="D48" s="5" t="s">
        <v>16</v>
      </c>
      <c r="E48" s="6">
        <f t="shared" si="1"/>
        <v>4719</v>
      </c>
      <c r="F48" s="6">
        <f t="shared" si="2"/>
        <v>200</v>
      </c>
    </row>
    <row r="49">
      <c r="A49" s="4" t="s">
        <v>62</v>
      </c>
      <c r="B49" s="4" t="s">
        <v>10</v>
      </c>
      <c r="C49" s="5">
        <v>2997.0</v>
      </c>
      <c r="D49" s="5" t="s">
        <v>8</v>
      </c>
      <c r="E49" s="6">
        <f t="shared" si="1"/>
        <v>2397.6</v>
      </c>
      <c r="F49" s="6">
        <f t="shared" si="2"/>
        <v>599.4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2.0"/>
    <col customWidth="1" min="3" max="3" width="22.63"/>
    <col customWidth="1" min="4" max="4" width="14.5"/>
  </cols>
  <sheetData>
    <row r="1">
      <c r="A1" s="8" t="s">
        <v>63</v>
      </c>
    </row>
    <row r="2">
      <c r="A2" s="2" t="s">
        <v>64</v>
      </c>
      <c r="B2" s="7">
        <f>SUMIFS('Purchase&amp;Discount- Data'!C2:C49,'Purchase&amp;Discount- Data'!B2:B49,"Electronics",'Purchase&amp;Discount- Data'!D2:D49,'Purchase&amp;Discount- Data'!I2)</f>
        <v>11970</v>
      </c>
    </row>
    <row r="4">
      <c r="A4" s="8" t="s">
        <v>65</v>
      </c>
    </row>
    <row r="5">
      <c r="A5" s="8" t="s">
        <v>66</v>
      </c>
      <c r="B5" s="8">
        <v>3000.0</v>
      </c>
      <c r="C5" s="8" t="s">
        <v>67</v>
      </c>
    </row>
    <row r="6">
      <c r="A6" s="8" t="s">
        <v>66</v>
      </c>
      <c r="B6" s="8">
        <v>1000.0</v>
      </c>
      <c r="C6" s="9" t="s">
        <v>68</v>
      </c>
    </row>
    <row r="7">
      <c r="A7" s="8" t="s">
        <v>69</v>
      </c>
      <c r="B7" s="8">
        <v>1000.0</v>
      </c>
      <c r="C7" s="8" t="s">
        <v>70</v>
      </c>
    </row>
    <row r="8">
      <c r="A8" s="3" t="s">
        <v>0</v>
      </c>
      <c r="B8" s="3" t="s">
        <v>2</v>
      </c>
      <c r="C8" s="3" t="s">
        <v>71</v>
      </c>
    </row>
    <row r="9">
      <c r="A9" s="7" t="s">
        <v>31</v>
      </c>
      <c r="B9" s="7">
        <f>VLOOKUP(A9,'Purchase&amp;Discount- Data'!A$2:C$49,3,FALSE)</f>
        <v>3940</v>
      </c>
      <c r="C9" s="7" t="str">
        <f t="shared" ref="C9:C11" si="1">IFS(B9&gt;3000,"Above Average Order",B9&gt;1000,"Average Order",B9&lt;=1000,"Below Average Order")</f>
        <v>Above Average Order</v>
      </c>
    </row>
    <row r="10">
      <c r="A10" s="7" t="s">
        <v>36</v>
      </c>
      <c r="B10" s="7">
        <f>VLOOKUP(A10,'Purchase&amp;Discount- Data'!A$2:C$49,3,FALSE)</f>
        <v>1446</v>
      </c>
      <c r="C10" s="7" t="str">
        <f t="shared" si="1"/>
        <v>Average Order</v>
      </c>
    </row>
    <row r="11">
      <c r="A11" s="7" t="s">
        <v>37</v>
      </c>
      <c r="B11" s="7">
        <f>VLOOKUP(A11,'Purchase&amp;Discount- Data'!A$2:C$49,3,FALSE)</f>
        <v>951</v>
      </c>
      <c r="C11" s="7" t="str">
        <f t="shared" si="1"/>
        <v>Below Average Order</v>
      </c>
    </row>
    <row r="13">
      <c r="A13" s="8" t="s">
        <v>72</v>
      </c>
    </row>
    <row r="14">
      <c r="A14" s="8" t="s">
        <v>73</v>
      </c>
      <c r="B14" s="8">
        <v>2000.0</v>
      </c>
      <c r="C14" s="8" t="s">
        <v>74</v>
      </c>
    </row>
    <row r="15">
      <c r="A15" s="8" t="s">
        <v>75</v>
      </c>
      <c r="B15" s="8">
        <v>2000.0</v>
      </c>
      <c r="C15" s="8" t="s">
        <v>76</v>
      </c>
    </row>
    <row r="16">
      <c r="A16" s="8" t="s">
        <v>77</v>
      </c>
    </row>
    <row r="17">
      <c r="A17" s="3" t="s">
        <v>0</v>
      </c>
      <c r="B17" s="3" t="s">
        <v>78</v>
      </c>
      <c r="C17" s="3" t="s">
        <v>79</v>
      </c>
      <c r="D17" s="3" t="s">
        <v>80</v>
      </c>
    </row>
    <row r="18">
      <c r="A18" s="7" t="s">
        <v>31</v>
      </c>
      <c r="B18" s="7">
        <f>VLOOKUP(A18,'Purchase&amp;Discount- Data'!A$2:E$49,5,FALSE)</f>
        <v>1970</v>
      </c>
      <c r="C18" s="7">
        <f t="shared" ref="C18:C20" si="2">IFS(B18&gt;2000,0,B18&lt;=2000,100)</f>
        <v>100</v>
      </c>
      <c r="D18" s="7">
        <f t="shared" ref="D18:D20" si="3">B18+C18</f>
        <v>2070</v>
      </c>
    </row>
    <row r="19">
      <c r="A19" s="7" t="s">
        <v>23</v>
      </c>
      <c r="B19" s="7">
        <f>VLOOKUP(A19,'Purchase&amp;Discount- Data'!A$2:E$49,5,FALSE)</f>
        <v>1435.2</v>
      </c>
      <c r="C19" s="7">
        <f t="shared" si="2"/>
        <v>100</v>
      </c>
      <c r="D19" s="7">
        <f t="shared" si="3"/>
        <v>1535.2</v>
      </c>
    </row>
    <row r="20">
      <c r="A20" s="7" t="s">
        <v>27</v>
      </c>
      <c r="B20" s="7">
        <f>VLOOKUP(A20,'Purchase&amp;Discount- Data'!A$2:E$49,5,FALSE)</f>
        <v>2810</v>
      </c>
      <c r="C20" s="7">
        <f t="shared" si="2"/>
        <v>0</v>
      </c>
      <c r="D20" s="7">
        <f t="shared" si="3"/>
        <v>2810</v>
      </c>
    </row>
    <row r="22">
      <c r="A22" s="8" t="s">
        <v>81</v>
      </c>
    </row>
    <row r="23">
      <c r="A23" s="2" t="s">
        <v>64</v>
      </c>
      <c r="B23" s="7" t="str">
        <f>IFERROR(__xludf.DUMMYFUNCTION("FILTER('Purchase&amp;Discount- Data'!A2:A49,'Purchase&amp;Discount- Data'!D2:D49=""10% off"",'Purchase&amp;Discount- Data'!C2:C49&gt;2500)"),"OD_003")</f>
        <v>OD_003</v>
      </c>
    </row>
    <row r="25">
      <c r="A25" s="8" t="s">
        <v>82</v>
      </c>
    </row>
    <row r="26">
      <c r="A26" s="2" t="s">
        <v>64</v>
      </c>
      <c r="B26" s="7" t="str">
        <f>IFERROR(__xludf.DUMMYFUNCTION("FILTER('Purchase&amp;Discount- Data'!A2:A49,'Purchase&amp;Discount- Data'!B2:B49=""Electronics"",'Purchase&amp;Discount- Data'!E2:E49&lt;2000)"),"OD_034")</f>
        <v>OD_034</v>
      </c>
    </row>
    <row r="28">
      <c r="A28" s="8" t="s">
        <v>83</v>
      </c>
    </row>
    <row r="29">
      <c r="A29" s="2" t="s">
        <v>64</v>
      </c>
      <c r="B29" s="7">
        <f>COUNTIFS('Purchase&amp;Discount- Data'!B2:B49,"Electronics",'Purchase&amp;Discount- Data'!D2:D49,"20% off")</f>
        <v>4</v>
      </c>
    </row>
    <row r="31">
      <c r="A31" s="8" t="s">
        <v>84</v>
      </c>
    </row>
    <row r="32">
      <c r="A32" s="2" t="s">
        <v>64</v>
      </c>
      <c r="B32" s="10" t="str">
        <f>COUNTIFS((('Purchase&amp;Discount- Data'!B2:B49,"Apparel")+('Purchase&amp;Discount- Data'!B2:B49,"Utility")),'Purchase&amp;Discount- Data'!D2:D49,"Buy 1 Get 1")</f>
        <v>#ERROR!</v>
      </c>
    </row>
    <row r="34">
      <c r="A34" s="8" t="s">
        <v>85</v>
      </c>
    </row>
    <row r="35">
      <c r="A35" s="2" t="s">
        <v>64</v>
      </c>
      <c r="B35" s="7">
        <f>MAXIFS('Purchase&amp;Discount- Data'!E2:E49,'Purchase&amp;Discount- Data'!C2:C49,"&gt;=3500")</f>
        <v>4781</v>
      </c>
    </row>
    <row r="37">
      <c r="A37" s="8" t="s">
        <v>86</v>
      </c>
    </row>
    <row r="38">
      <c r="A38" s="2" t="s">
        <v>64</v>
      </c>
      <c r="B38" s="7">
        <f>AVERAGEIFS('Purchase&amp;Discount- Data'!C2:C49,'Purchase&amp;Discount- Data'!D2:D49,"flat Rs. 200 off")</f>
        <v>2983.153846</v>
      </c>
    </row>
    <row r="40">
      <c r="A40" s="8" t="s">
        <v>87</v>
      </c>
    </row>
    <row r="41">
      <c r="A41" s="3" t="s">
        <v>0</v>
      </c>
      <c r="B41" s="3" t="s">
        <v>2</v>
      </c>
      <c r="C41" s="3" t="s">
        <v>88</v>
      </c>
    </row>
    <row r="42">
      <c r="A42" s="7" t="s">
        <v>19</v>
      </c>
      <c r="B42" s="7">
        <f>VLOOKUP(A42,'Purchase&amp;Discount- Data'!A$2:C$49,3,FALSE)</f>
        <v>2591</v>
      </c>
      <c r="C42" s="7" t="str">
        <f t="shared" ref="C42:C44" si="4">IF(B42&gt;=3500,"Above 3500","Below 3500")</f>
        <v>Below 3500</v>
      </c>
    </row>
    <row r="43">
      <c r="A43" s="7" t="s">
        <v>39</v>
      </c>
      <c r="B43" s="7">
        <f>VLOOKUP(A43,'Purchase&amp;Discount- Data'!A$2:C$49,3,FALSE)</f>
        <v>3477</v>
      </c>
      <c r="C43" s="7" t="str">
        <f t="shared" si="4"/>
        <v>Below 3500</v>
      </c>
    </row>
    <row r="44">
      <c r="A44" s="7" t="s">
        <v>35</v>
      </c>
      <c r="B44" s="7">
        <f>VLOOKUP(A44,'Purchase&amp;Discount- Data'!A$2:C$49,3,FALSE)</f>
        <v>4044</v>
      </c>
      <c r="C44" s="7" t="str">
        <f t="shared" si="4"/>
        <v>Above 3500</v>
      </c>
    </row>
    <row r="46">
      <c r="A46" s="8" t="s">
        <v>89</v>
      </c>
    </row>
    <row r="47">
      <c r="A47" s="8" t="s">
        <v>90</v>
      </c>
    </row>
    <row r="48">
      <c r="A48" s="8" t="s">
        <v>91</v>
      </c>
    </row>
    <row r="49">
      <c r="A49" s="8" t="s">
        <v>92</v>
      </c>
    </row>
    <row r="50">
      <c r="A50" s="3" t="s">
        <v>0</v>
      </c>
      <c r="B50" s="3" t="s">
        <v>2</v>
      </c>
      <c r="C50" s="3" t="s">
        <v>4</v>
      </c>
      <c r="D50" s="3" t="s">
        <v>88</v>
      </c>
    </row>
    <row r="51">
      <c r="A51" s="7" t="s">
        <v>18</v>
      </c>
      <c r="B51" s="7">
        <f>VLOOKUP(A51,'Purchase&amp;Discount- Data'!A$2:C$49,3,FALSE)</f>
        <v>2865</v>
      </c>
      <c r="C51" s="7">
        <f>VLOOKUP(A51,'Purchase&amp;Discount- Data'!A2:E49,5,FALSE)</f>
        <v>1432.5</v>
      </c>
      <c r="D51" s="7" t="str">
        <f t="shared" ref="D51:D53" si="5">IFS((B51-C51)&gt;=500,"High Discount",(B51-C51)&gt;=225,"Medium Discount",(B51-C51)&lt;225,"Low Discount")</f>
        <v>High Discount</v>
      </c>
    </row>
    <row r="52">
      <c r="A52" s="7" t="s">
        <v>24</v>
      </c>
      <c r="B52" s="7">
        <f>VLOOKUP(A52,'Purchase&amp;Discount- Data'!A$2:C$49,3,FALSE)</f>
        <v>1753</v>
      </c>
      <c r="C52" s="7">
        <f>VLOOKUP(A52,'Purchase&amp;Discount- Data'!A3:E50,5,FALSE)</f>
        <v>1553</v>
      </c>
      <c r="D52" s="7" t="str">
        <f t="shared" si="5"/>
        <v>Low Discount</v>
      </c>
    </row>
    <row r="53">
      <c r="A53" s="7" t="s">
        <v>26</v>
      </c>
      <c r="B53" s="7">
        <f>VLOOKUP(A53,'Purchase&amp;Discount- Data'!A$2:C$49,3,FALSE)</f>
        <v>2273</v>
      </c>
      <c r="C53" s="7">
        <f>VLOOKUP(A53,'Purchase&amp;Discount- Data'!A4:E51,5,FALSE)</f>
        <v>2045.7</v>
      </c>
      <c r="D53" s="7" t="str">
        <f t="shared" si="5"/>
        <v>Medium Discount</v>
      </c>
    </row>
    <row r="55">
      <c r="A55" s="8" t="s">
        <v>93</v>
      </c>
    </row>
    <row r="56">
      <c r="A56" s="2" t="s">
        <v>64</v>
      </c>
      <c r="B56" s="7">
        <f>MAXIFS('Purchase&amp;Discount- Data'!C2:C49,'Purchase&amp;Discount- Data'!B2:B49,"Grocery")</f>
        <v>4919</v>
      </c>
    </row>
    <row r="58">
      <c r="A58" s="8" t="s">
        <v>94</v>
      </c>
    </row>
    <row r="59">
      <c r="A59" s="8" t="s">
        <v>95</v>
      </c>
    </row>
    <row r="60">
      <c r="A60" s="8" t="s">
        <v>96</v>
      </c>
    </row>
    <row r="61">
      <c r="A61" s="8" t="s">
        <v>97</v>
      </c>
    </row>
    <row r="62">
      <c r="A62" s="8" t="s">
        <v>98</v>
      </c>
    </row>
    <row r="63">
      <c r="A63" s="3" t="s">
        <v>0</v>
      </c>
      <c r="B63" s="3" t="s">
        <v>99</v>
      </c>
      <c r="C63" s="3" t="s">
        <v>100</v>
      </c>
    </row>
    <row r="64">
      <c r="A64" s="7" t="s">
        <v>32</v>
      </c>
      <c r="B64" s="7" t="str">
        <f>VLOOKUP(A64,'Purchase&amp;Discount- Data'!A$2:D$49,4,FALSE)</f>
        <v>Flat Rs. 200 off</v>
      </c>
      <c r="C64" s="7" t="str">
        <f>IF(B64="20% off","Diwali Sale",IF(B64="Buy 1 Get 1","New Year Sale",IF(B64=B64,"Holi Sale")))</f>
        <v>Holi Sale</v>
      </c>
    </row>
    <row r="65">
      <c r="A65" s="10" t="s">
        <v>17</v>
      </c>
      <c r="B65" s="7" t="str">
        <f>VLOOKUP(A65,'Purchase&amp;Discount- Data'!A$2:D$49,4,FALSE)</f>
        <v>20% off</v>
      </c>
      <c r="C65" s="7" t="str">
        <f t="shared" ref="C65:C66" si="6">IF(B65="20% off","Diwali Sale",IF(B65="Buy 1 Get 1","New Year Sale",IF(B65,"Holi Sale")))</f>
        <v>Diwali Sale</v>
      </c>
    </row>
    <row r="66">
      <c r="A66" s="7" t="s">
        <v>31</v>
      </c>
      <c r="B66" s="7" t="str">
        <f>VLOOKUP(A66,'Purchase&amp;Discount- Data'!A$2:D$49,4,FALSE)</f>
        <v>Buy 1 Get 1</v>
      </c>
      <c r="C66" s="7" t="str">
        <f t="shared" si="6"/>
        <v>New Year Sale</v>
      </c>
    </row>
    <row r="68">
      <c r="A68" s="8" t="s">
        <v>101</v>
      </c>
    </row>
    <row r="69">
      <c r="A69" s="2" t="s">
        <v>64</v>
      </c>
      <c r="B69" s="7">
        <f>COUNTIFS('Purchase&amp;Discount- Data'!B2:B49,"Apparels",'Purchase&amp;Discount- Data'!D2:D49,"20% off",'Purchase&amp;Discount- Data'!C2:C49,"&gt;1000")</f>
        <v>2</v>
      </c>
    </row>
    <row r="71">
      <c r="A71" s="8" t="s">
        <v>102</v>
      </c>
    </row>
    <row r="72">
      <c r="A72" s="2" t="s">
        <v>64</v>
      </c>
      <c r="B72" s="7" t="str">
        <f>IFERROR(__xludf.DUMMYFUNCTION("FILTER('Purchase&amp;Discount- Data'!A2:A49,'Purchase&amp;Discount- Data'!B2:B49=""Decor"",'Purchase&amp;Discount- Data'!D2:D49=""Buy 1 Get 1"",'Purchase&amp;Discount- Data'!C2:C49&gt;2500)"),"OD_007")</f>
        <v>OD_007</v>
      </c>
    </row>
    <row r="74">
      <c r="A74" s="8" t="s">
        <v>103</v>
      </c>
    </row>
    <row r="75">
      <c r="A75" s="2" t="s">
        <v>104</v>
      </c>
      <c r="B75" s="7">
        <f>AVERAGEIFS('Purchase&amp;Discount- Data'!C2:C49,'Purchase&amp;Discount- Data'!B2:B49,"Electronics",'Purchase&amp;Discount- Data'!D2:D49,"Buy 1 Get 1")</f>
        <v>4294</v>
      </c>
    </row>
    <row r="77">
      <c r="A77" s="8" t="s">
        <v>105</v>
      </c>
    </row>
    <row r="78">
      <c r="A78" s="8" t="s">
        <v>106</v>
      </c>
    </row>
    <row r="79">
      <c r="A79" s="3" t="s">
        <v>107</v>
      </c>
      <c r="B79" s="3" t="s">
        <v>1</v>
      </c>
      <c r="C79" s="3" t="s">
        <v>108</v>
      </c>
    </row>
    <row r="80">
      <c r="A80" s="7" t="s">
        <v>17</v>
      </c>
      <c r="B80" s="7" t="str">
        <f>VLOOKUP(A80,'Purchase&amp;Discount- Data'!A$2:B$49,2,FALSE)</f>
        <v>Grocery</v>
      </c>
      <c r="C80" s="7" t="str">
        <f t="shared" ref="C80:C82" si="7">"Order in "&amp;B80&amp;" category"</f>
        <v>Order in Grocery category</v>
      </c>
    </row>
    <row r="81">
      <c r="A81" s="7" t="s">
        <v>35</v>
      </c>
      <c r="B81" s="7" t="str">
        <f>VLOOKUP(A81,'Purchase&amp;Discount- Data'!A$2:B$49,2,FALSE)</f>
        <v>Decor</v>
      </c>
      <c r="C81" s="7" t="str">
        <f t="shared" si="7"/>
        <v>Order in Decor category</v>
      </c>
    </row>
    <row r="82">
      <c r="A82" s="7" t="s">
        <v>31</v>
      </c>
      <c r="B82" s="7" t="str">
        <f>VLOOKUP(A82,'Purchase&amp;Discount- Data'!A$2:B$49,2,FALSE)</f>
        <v>Utility</v>
      </c>
      <c r="C82" s="7" t="str">
        <f t="shared" si="7"/>
        <v>Order in Utility category</v>
      </c>
    </row>
    <row r="84">
      <c r="A84" s="8" t="s">
        <v>109</v>
      </c>
    </row>
    <row r="85">
      <c r="A85" s="2" t="s">
        <v>64</v>
      </c>
      <c r="B85" s="7">
        <f>MAXIFS('Purchase&amp;Discount- Data'!E2:E49,'Purchase&amp;Discount- Data'!B2:B49,"Decor",'Purchase&amp;Discount- Data'!D2:D49,"10% off")</f>
        <v>1301.4</v>
      </c>
    </row>
    <row r="87">
      <c r="A87" s="8" t="s">
        <v>110</v>
      </c>
    </row>
    <row r="88">
      <c r="A88" s="2" t="s">
        <v>64</v>
      </c>
      <c r="B88" s="7" t="str">
        <f>IFERROR(__xludf.DUMMYFUNCTION("FILTER('Purchase&amp;Discount- Data'!A2:A49,'Purchase&amp;Discount- Data'!B2:B49=""Decor"",'Purchase&amp;Discount- Data'!D2:D49=""Flat Rs. 200 off"",'Purchase&amp;Discount- Data'!C2:C49&gt;=500)"),"OD_004")</f>
        <v>OD_004</v>
      </c>
    </row>
    <row r="91">
      <c r="A91" s="8" t="s">
        <v>111</v>
      </c>
    </row>
    <row r="92">
      <c r="A92" s="2" t="s">
        <v>64</v>
      </c>
      <c r="B92" s="7">
        <f>AVERAGEIFS('Purchase&amp;Discount- Data'!E2:E49,'Purchase&amp;Discount- Data'!B2:B49,"Grocery",'Purchase&amp;Discount- Data'!D2:D49,"10% off")</f>
        <v>2045.7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0.0"/>
  </cols>
  <sheetData>
    <row r="1">
      <c r="A1" s="11" t="s">
        <v>112</v>
      </c>
      <c r="B1" s="12"/>
      <c r="C1" s="12"/>
      <c r="D1" s="12"/>
      <c r="E1" s="12"/>
      <c r="F1" s="12"/>
      <c r="G1" s="12"/>
      <c r="H1" s="12"/>
      <c r="I1" s="12"/>
      <c r="J1" s="12"/>
      <c r="K1" s="12"/>
      <c r="L1" s="12"/>
      <c r="M1" s="12"/>
      <c r="N1" s="12"/>
      <c r="O1" s="12"/>
      <c r="P1" s="12"/>
      <c r="Q1" s="12"/>
      <c r="R1" s="12"/>
      <c r="S1" s="12"/>
      <c r="T1" s="12"/>
      <c r="U1" s="12"/>
      <c r="V1" s="12"/>
      <c r="W1" s="12"/>
      <c r="X1" s="12"/>
      <c r="Y1" s="12"/>
      <c r="Z1" s="12"/>
    </row>
    <row r="2">
      <c r="A2" s="11" t="s">
        <v>113</v>
      </c>
      <c r="B2" s="13"/>
      <c r="C2" s="12"/>
      <c r="D2" s="12"/>
      <c r="E2" s="12"/>
      <c r="F2" s="12"/>
      <c r="G2" s="12"/>
      <c r="H2" s="12"/>
      <c r="I2" s="12"/>
      <c r="J2" s="12"/>
      <c r="K2" s="12"/>
      <c r="L2" s="12"/>
      <c r="M2" s="12"/>
      <c r="N2" s="12"/>
      <c r="O2" s="12"/>
      <c r="P2" s="12"/>
      <c r="Q2" s="12"/>
      <c r="R2" s="12"/>
      <c r="S2" s="12"/>
      <c r="T2" s="12"/>
      <c r="U2" s="12"/>
      <c r="V2" s="12"/>
      <c r="W2" s="12"/>
      <c r="X2" s="12"/>
      <c r="Y2" s="12"/>
      <c r="Z2" s="12"/>
    </row>
    <row r="3">
      <c r="A3" s="14" t="s">
        <v>64</v>
      </c>
      <c r="B3" s="15" t="str">
        <f>IFERROR(__xludf.DUMMYFUNCTION("FILTER('Purchase&amp;Discount- Data'!A2:A49,'Purchase&amp;Discount- Data'!E2:E49=MAX('Purchase&amp;Discount- Data'!E2:E49))"),"OD_014")</f>
        <v>OD_014</v>
      </c>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c r="A5" s="11" t="s">
        <v>114</v>
      </c>
      <c r="B5" s="12"/>
      <c r="C5" s="12"/>
      <c r="D5" s="12"/>
      <c r="E5" s="12"/>
      <c r="F5" s="12"/>
      <c r="G5" s="12"/>
      <c r="H5" s="12"/>
      <c r="I5" s="12"/>
      <c r="J5" s="12"/>
      <c r="K5" s="12"/>
      <c r="L5" s="12"/>
      <c r="M5" s="12"/>
      <c r="N5" s="12"/>
      <c r="O5" s="12"/>
      <c r="P5" s="12"/>
      <c r="Q5" s="12"/>
      <c r="R5" s="12"/>
      <c r="S5" s="12"/>
      <c r="T5" s="12"/>
      <c r="U5" s="12"/>
      <c r="V5" s="12"/>
      <c r="W5" s="12"/>
      <c r="X5" s="12"/>
      <c r="Y5" s="12"/>
      <c r="Z5" s="12"/>
    </row>
    <row r="6">
      <c r="A6" s="11" t="s">
        <v>115</v>
      </c>
      <c r="B6" s="13"/>
      <c r="C6" s="12"/>
      <c r="D6" s="12"/>
      <c r="E6" s="12"/>
      <c r="F6" s="12"/>
      <c r="G6" s="12"/>
      <c r="H6" s="12"/>
      <c r="I6" s="12"/>
      <c r="J6" s="12"/>
      <c r="K6" s="12"/>
      <c r="L6" s="12"/>
      <c r="M6" s="12"/>
      <c r="N6" s="12"/>
      <c r="O6" s="12"/>
      <c r="P6" s="12"/>
      <c r="Q6" s="12"/>
      <c r="R6" s="12"/>
      <c r="S6" s="12"/>
      <c r="T6" s="12"/>
      <c r="U6" s="12"/>
      <c r="V6" s="12"/>
      <c r="W6" s="12"/>
      <c r="X6" s="12"/>
      <c r="Y6" s="12"/>
      <c r="Z6" s="12"/>
    </row>
    <row r="7">
      <c r="A7" s="14" t="s">
        <v>64</v>
      </c>
      <c r="B7" s="15" t="str">
        <f>VLOOKUP(MAX('Purchase&amp;Discount- Data'!C2:C49),'Purchase&amp;Discount- Data'!$C$2:$D$49,2,FALSE)</f>
        <v>Flat Rs. 200 off</v>
      </c>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1" t="s">
        <v>116</v>
      </c>
      <c r="B9" s="12"/>
      <c r="C9" s="12"/>
      <c r="D9" s="12"/>
      <c r="E9" s="12"/>
      <c r="F9" s="12"/>
      <c r="G9" s="12"/>
      <c r="H9" s="12"/>
      <c r="I9" s="12"/>
      <c r="J9" s="12"/>
      <c r="K9" s="12"/>
      <c r="L9" s="12"/>
      <c r="M9" s="12"/>
      <c r="N9" s="12"/>
      <c r="O9" s="12"/>
      <c r="P9" s="12"/>
      <c r="Q9" s="12"/>
      <c r="R9" s="12"/>
      <c r="S9" s="12"/>
      <c r="T9" s="12"/>
      <c r="U9" s="12"/>
      <c r="V9" s="12"/>
      <c r="W9" s="12"/>
      <c r="X9" s="12"/>
      <c r="Y9" s="12"/>
      <c r="Z9" s="12"/>
    </row>
    <row r="10">
      <c r="A10" s="11" t="s">
        <v>117</v>
      </c>
      <c r="B10" s="13"/>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4" t="s">
        <v>64</v>
      </c>
      <c r="B11" s="15" t="str">
        <f>IFERROR(__xludf.DUMMYFUNCTION("FILTER('Purchase&amp;Discount- Data'!A2:A49,'Purchase&amp;Discount- Data'!C2:C49=MAXIFS('Purchase&amp;Discount- Data'!C2:C49,'Purchase&amp;Discount- Data'!B2:B49,""Decor""))"),"OD_021")</f>
        <v>OD_021</v>
      </c>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1" t="s">
        <v>118</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1" t="s">
        <v>119</v>
      </c>
      <c r="B14" s="13"/>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4" t="s">
        <v>64</v>
      </c>
      <c r="B15" s="15" t="str">
        <f>IFERROR(__xludf.DUMMYFUNCTION("ARRAY_CONSTRAIN(SORT(FILTER('Purchase&amp;Discount- Data'!A2:E49,'Purchase&amp;Discount- Data'!E2:E49&gt;=2500),5,FALSE),5,1)"),"OD_014")</f>
        <v>OD_014</v>
      </c>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6"/>
      <c r="B16" s="15" t="str">
        <f>IFERROR(__xludf.DUMMYFUNCTION("""COMPUTED_VALUE"""),"OD_047")</f>
        <v>OD_047</v>
      </c>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6"/>
      <c r="B17" s="15" t="str">
        <f>IFERROR(__xludf.DUMMYFUNCTION("""COMPUTED_VALUE"""),"OD_018")</f>
        <v>OD_018</v>
      </c>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6"/>
      <c r="B18" s="15" t="str">
        <f>IFERROR(__xludf.DUMMYFUNCTION("""COMPUTED_VALUE"""),"OD_039")</f>
        <v>OD_039</v>
      </c>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6"/>
      <c r="B19" s="15" t="str">
        <f>IFERROR(__xludf.DUMMYFUNCTION("""COMPUTED_VALUE"""),"OD_005")</f>
        <v>OD_005</v>
      </c>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1" t="s">
        <v>120</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7" t="s">
        <v>121</v>
      </c>
      <c r="B22" s="18"/>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20" t="s">
        <v>0</v>
      </c>
      <c r="B23" s="21" t="s">
        <v>88</v>
      </c>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22" t="s">
        <v>32</v>
      </c>
      <c r="B24" s="23" t="str">
        <f>IF((VLOOKUP(A24,'Purchase&amp;Discount- Data'!$A$2:$C$49,3,FALSE) - VLOOKUP(A24,'Purchase&amp;Discount- Data'!$A$2:$E$49,5,FALSE)) &gt;= 600, "Buy", "Leave")
</f>
        <v>Leave</v>
      </c>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22" t="s">
        <v>37</v>
      </c>
      <c r="B25" s="23" t="str">
        <f>IF((VLOOKUP(A25,'Purchase&amp;Discount- Data'!$A$2:$C$49,3,FALSE) - VLOOKUP(A25,'Purchase&amp;Discount- Data'!$A$2:$E$49,5,FALSE)) &gt;= 600, "Buy", "Leave")
</f>
        <v>Leave</v>
      </c>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22" t="s">
        <v>42</v>
      </c>
      <c r="B26" s="23" t="str">
        <f>IF((VLOOKUP(A26,'Purchase&amp;Discount- Data'!$A$2:$C$49,3,FALSE) - VLOOKUP(A26,'Purchase&amp;Discount- Data'!$A$2:$E$49,5,FALSE)) &gt;= 600, "Buy", "Leave")
</f>
        <v>Buy</v>
      </c>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22" t="s">
        <v>22</v>
      </c>
      <c r="B27" s="23" t="str">
        <f>IF((VLOOKUP(A27,'Purchase&amp;Discount- Data'!$A$2:$C$49,3,FALSE) - VLOOKUP(A27,'Purchase&amp;Discount- Data'!$A$2:$E$49,5,FALSE)) &gt;= 600, "Buy", "Leave")
</f>
        <v>Leave</v>
      </c>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1" t="s">
        <v>122</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7" t="s">
        <v>123</v>
      </c>
      <c r="B30" s="18"/>
      <c r="C30" s="18"/>
      <c r="D30" s="19"/>
      <c r="E30" s="19"/>
      <c r="F30" s="19"/>
      <c r="G30" s="19"/>
      <c r="H30" s="19"/>
      <c r="I30" s="19"/>
      <c r="J30" s="19"/>
      <c r="K30" s="19"/>
      <c r="L30" s="19"/>
      <c r="M30" s="19"/>
      <c r="N30" s="19"/>
      <c r="O30" s="19"/>
      <c r="P30" s="19"/>
      <c r="Q30" s="19"/>
      <c r="R30" s="19"/>
      <c r="S30" s="19"/>
      <c r="T30" s="19"/>
      <c r="U30" s="19"/>
      <c r="V30" s="19"/>
      <c r="W30" s="19"/>
      <c r="X30" s="19"/>
      <c r="Y30" s="19"/>
      <c r="Z30" s="19"/>
    </row>
    <row r="31">
      <c r="A31" s="20" t="s">
        <v>1</v>
      </c>
      <c r="B31" s="21" t="s">
        <v>2</v>
      </c>
      <c r="C31" s="21" t="s">
        <v>124</v>
      </c>
      <c r="D31" s="12"/>
      <c r="E31" s="12"/>
      <c r="F31" s="12"/>
      <c r="G31" s="12"/>
      <c r="H31" s="12"/>
      <c r="I31" s="12"/>
      <c r="J31" s="12"/>
      <c r="K31" s="12"/>
      <c r="L31" s="12"/>
      <c r="M31" s="12"/>
      <c r="N31" s="12"/>
      <c r="O31" s="12"/>
      <c r="P31" s="12"/>
      <c r="Q31" s="12"/>
      <c r="R31" s="12"/>
      <c r="S31" s="12"/>
      <c r="T31" s="12"/>
      <c r="U31" s="12"/>
      <c r="V31" s="12"/>
      <c r="W31" s="12"/>
      <c r="X31" s="12"/>
      <c r="Y31" s="12"/>
      <c r="Z31" s="12"/>
    </row>
    <row r="32">
      <c r="A32" s="22" t="s">
        <v>7</v>
      </c>
      <c r="B32" s="24">
        <f>SUMIFS('Purchase&amp;Discount- Data'!$C$2:$C$49,'Purchase&amp;Discount- Data'!$B$2:$B$49,A32)</f>
        <v>23102</v>
      </c>
      <c r="C32" s="25" t="str">
        <f t="shared" ref="C32:C34" si="1">IF(B32&gt;=AVERAGE(B$32:B$34),"High purchase amount","Low purchase amount")</f>
        <v>Low purchase amount</v>
      </c>
      <c r="D32" s="12"/>
      <c r="E32" s="12"/>
      <c r="F32" s="12"/>
      <c r="G32" s="12"/>
      <c r="H32" s="12"/>
      <c r="I32" s="12"/>
      <c r="J32" s="12"/>
      <c r="K32" s="12"/>
      <c r="L32" s="12"/>
      <c r="M32" s="12"/>
      <c r="N32" s="12"/>
      <c r="O32" s="12"/>
      <c r="P32" s="12"/>
      <c r="Q32" s="12"/>
      <c r="R32" s="12"/>
      <c r="S32" s="12"/>
      <c r="T32" s="12"/>
      <c r="U32" s="12"/>
      <c r="V32" s="12"/>
      <c r="W32" s="12"/>
      <c r="X32" s="12"/>
      <c r="Y32" s="12"/>
      <c r="Z32" s="12"/>
    </row>
    <row r="33">
      <c r="A33" s="22" t="s">
        <v>10</v>
      </c>
      <c r="B33" s="24">
        <f>SUMIFS('Purchase&amp;Discount- Data'!$C$2:$C$49,'Purchase&amp;Discount- Data'!$B$2:$B$49,A33)</f>
        <v>47452</v>
      </c>
      <c r="C33" s="25" t="str">
        <f t="shared" si="1"/>
        <v>High purchase amount</v>
      </c>
      <c r="D33" s="12"/>
      <c r="E33" s="12"/>
      <c r="F33" s="12"/>
      <c r="G33" s="12"/>
      <c r="H33" s="12"/>
      <c r="I33" s="12"/>
      <c r="J33" s="12"/>
      <c r="K33" s="12"/>
      <c r="L33" s="12"/>
      <c r="M33" s="12"/>
      <c r="N33" s="12"/>
      <c r="O33" s="12"/>
      <c r="P33" s="12"/>
      <c r="Q33" s="12"/>
      <c r="R33" s="12"/>
      <c r="S33" s="12"/>
      <c r="T33" s="12"/>
      <c r="U33" s="12"/>
      <c r="V33" s="12"/>
      <c r="W33" s="12"/>
      <c r="X33" s="12"/>
      <c r="Y33" s="12"/>
      <c r="Z33" s="12"/>
    </row>
    <row r="34">
      <c r="A34" s="22" t="s">
        <v>15</v>
      </c>
      <c r="B34" s="24">
        <f>SUMIFS('Purchase&amp;Discount- Data'!$C$2:$C$49,'Purchase&amp;Discount- Data'!$B$2:$B$49,A34)</f>
        <v>18975</v>
      </c>
      <c r="C34" s="25" t="str">
        <f t="shared" si="1"/>
        <v>Low purchase amount</v>
      </c>
      <c r="D34" s="12"/>
      <c r="E34" s="12"/>
      <c r="F34" s="12"/>
      <c r="G34" s="12"/>
      <c r="H34" s="12"/>
      <c r="I34" s="12"/>
      <c r="J34" s="12"/>
      <c r="K34" s="12"/>
      <c r="L34" s="12"/>
      <c r="M34" s="12"/>
      <c r="N34" s="12"/>
      <c r="O34" s="12"/>
      <c r="P34" s="12"/>
      <c r="Q34" s="12"/>
      <c r="R34" s="12"/>
      <c r="S34" s="12"/>
      <c r="T34" s="12"/>
      <c r="U34" s="12"/>
      <c r="V34" s="12"/>
      <c r="W34" s="12"/>
      <c r="X34" s="12"/>
      <c r="Y34" s="12"/>
      <c r="Z34" s="12"/>
    </row>
    <row r="35">
      <c r="A35" s="26"/>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1" t="s">
        <v>125</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1" t="s">
        <v>126</v>
      </c>
      <c r="B37" s="13"/>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27" t="s">
        <v>64</v>
      </c>
      <c r="B38" s="15" t="str">
        <f>IFERROR(__xludf.DUMMYFUNCTION("FILTER('Purchase&amp;Discount- Data'!A2:A49,'Purchase&amp;Discount- Data'!E2:E49=MIN('Purchase&amp;Discount- Data'!E2:E49))"),"OD_009")</f>
        <v>OD_009</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26"/>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1" t="s">
        <v>127</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28" t="s">
        <v>119</v>
      </c>
      <c r="B41" s="13"/>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27" t="s">
        <v>64</v>
      </c>
      <c r="B42" s="15" t="str">
        <f>IFERROR(__xludf.DUMMYFUNCTION("ARRAY_CONSTRAIN(SORT(FILTER('Purchase&amp;Discount- Data'!A2:C49,'Purchase&amp;Discount- Data'!B2:B49=""Electronics""),3,TRUE),5,1)"),"OD_034")</f>
        <v>OD_034</v>
      </c>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6"/>
      <c r="B43" s="15" t="str">
        <f>IFERROR(__xludf.DUMMYFUNCTION("""COMPUTED_VALUE"""),"OD_046")</f>
        <v>OD_046</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6"/>
      <c r="B44" s="15" t="str">
        <f>IFERROR(__xludf.DUMMYFUNCTION("""COMPUTED_VALUE"""),"OD_003")</f>
        <v>OD_003</v>
      </c>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6"/>
      <c r="B45" s="15" t="str">
        <f>IFERROR(__xludf.DUMMYFUNCTION("""COMPUTED_VALUE"""),"OD_001")</f>
        <v>OD_001</v>
      </c>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29"/>
      <c r="B46" s="15" t="str">
        <f>IFERROR(__xludf.DUMMYFUNCTION("""COMPUTED_VALUE"""),"OD_030")</f>
        <v>OD_030</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26"/>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30" t="s">
        <v>128</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31" t="s">
        <v>129</v>
      </c>
      <c r="B49" s="13"/>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4" t="s">
        <v>64</v>
      </c>
      <c r="B50" s="15" t="str">
        <f>IFERROR(__xludf.DUMMYFUNCTION("FILTER('Purchase&amp;Discount- Data'!A2:A49,'Purchase&amp;Discount- Data'!E2:E49=MAXIFS('Purchase&amp;Discount- Data'!E2:E49,'Purchase&amp;Discount- Data'!C2:C49,MAX('Purchase&amp;Discount- Data'!C2:C49)))"),"OD_014")</f>
        <v>OD_014</v>
      </c>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26"/>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1" t="s">
        <v>130</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28" t="s">
        <v>119</v>
      </c>
      <c r="B53" s="13"/>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27" t="s">
        <v>64</v>
      </c>
      <c r="B54" s="15" t="str">
        <f>IFERROR(__xludf.DUMMYFUNCTION("ARRAY_CONSTRAIN(SORT(FILTER('Purchase&amp;Discount- Data'!A2:E49,'Purchase&amp;Discount- Data'!B2:B49=""Grocery""),5,FALSE),3,1)"),"OD_047")</f>
        <v>OD_047</v>
      </c>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6"/>
      <c r="B55" s="15" t="str">
        <f>IFERROR(__xludf.DUMMYFUNCTION("""COMPUTED_VALUE"""),"OD_018")</f>
        <v>OD_018</v>
      </c>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29"/>
      <c r="B56" s="15" t="str">
        <f>IFERROR(__xludf.DUMMYFUNCTION("""COMPUTED_VALUE"""),"OD_039")</f>
        <v>OD_039</v>
      </c>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26"/>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1" t="s">
        <v>131</v>
      </c>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31" t="s">
        <v>132</v>
      </c>
      <c r="B59" s="13"/>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4" t="s">
        <v>104</v>
      </c>
      <c r="B60" s="15" t="str">
        <f>IFERROR(__xludf.DUMMYFUNCTION("FILTER('Purchase&amp;Discount- Data'!A2:A49,'Purchase&amp;Discount- Data'!C2:C49=MINIFS('Purchase&amp;Discount- Data'!C2:C49,'Purchase&amp;Discount- Data'!D2:D49,""10% off""))"),"OD_015")</f>
        <v>OD_015</v>
      </c>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26"/>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1" t="s">
        <v>133</v>
      </c>
      <c r="B62" s="26"/>
      <c r="C62" s="26"/>
      <c r="D62" s="12"/>
      <c r="E62" s="12"/>
      <c r="F62" s="12"/>
      <c r="G62" s="12"/>
      <c r="H62" s="12"/>
      <c r="I62" s="12"/>
      <c r="J62" s="12"/>
      <c r="K62" s="12"/>
      <c r="L62" s="12"/>
      <c r="M62" s="12"/>
      <c r="N62" s="12"/>
      <c r="O62" s="12"/>
      <c r="P62" s="12"/>
      <c r="Q62" s="12"/>
      <c r="R62" s="12"/>
      <c r="S62" s="12"/>
      <c r="T62" s="12"/>
      <c r="U62" s="12"/>
      <c r="V62" s="12"/>
      <c r="W62" s="12"/>
      <c r="X62" s="12"/>
      <c r="Y62" s="12"/>
      <c r="Z62" s="12"/>
    </row>
    <row r="63">
      <c r="A63" s="25" t="s">
        <v>134</v>
      </c>
      <c r="B63" s="13"/>
      <c r="C63" s="13"/>
      <c r="D63" s="12"/>
      <c r="E63" s="12"/>
      <c r="F63" s="12"/>
      <c r="G63" s="12"/>
      <c r="H63" s="12"/>
      <c r="I63" s="12"/>
      <c r="J63" s="12"/>
      <c r="K63" s="12"/>
      <c r="L63" s="12"/>
      <c r="M63" s="12"/>
      <c r="N63" s="12"/>
      <c r="O63" s="12"/>
      <c r="P63" s="12"/>
      <c r="Q63" s="12"/>
      <c r="R63" s="12"/>
      <c r="S63" s="12"/>
      <c r="T63" s="12"/>
      <c r="U63" s="12"/>
      <c r="V63" s="12"/>
      <c r="W63" s="12"/>
      <c r="X63" s="12"/>
      <c r="Y63" s="12"/>
      <c r="Z63" s="12"/>
    </row>
    <row r="64">
      <c r="A64" s="32" t="s">
        <v>3</v>
      </c>
      <c r="B64" s="33" t="s">
        <v>135</v>
      </c>
      <c r="C64" s="33" t="s">
        <v>136</v>
      </c>
      <c r="D64" s="12"/>
      <c r="E64" s="12"/>
      <c r="F64" s="12"/>
      <c r="G64" s="12"/>
      <c r="H64" s="12"/>
      <c r="I64" s="12"/>
      <c r="J64" s="12"/>
      <c r="K64" s="12"/>
      <c r="L64" s="12"/>
      <c r="M64" s="12"/>
      <c r="N64" s="12"/>
      <c r="O64" s="12"/>
      <c r="P64" s="12"/>
      <c r="Q64" s="12"/>
      <c r="R64" s="12"/>
      <c r="S64" s="12"/>
      <c r="T64" s="12"/>
      <c r="U64" s="12"/>
      <c r="V64" s="12"/>
      <c r="W64" s="12"/>
      <c r="X64" s="12"/>
      <c r="Y64" s="12"/>
      <c r="Z64" s="12"/>
    </row>
    <row r="65">
      <c r="A65" s="22" t="s">
        <v>8</v>
      </c>
      <c r="B65" s="24">
        <f>COUNTIF('Purchase&amp;Discount- Data'!D$2:D$49,A65)</f>
        <v>16</v>
      </c>
      <c r="C65" s="15" t="str">
        <f t="shared" ref="C65:C68" si="2">IF(B65=MAX(B$65:B$68),"Yes","No")</f>
        <v>Yes</v>
      </c>
      <c r="D65" s="12"/>
      <c r="E65" s="12"/>
      <c r="F65" s="12"/>
      <c r="G65" s="12"/>
      <c r="H65" s="12"/>
      <c r="I65" s="12"/>
      <c r="J65" s="12"/>
      <c r="K65" s="12"/>
      <c r="L65" s="12"/>
      <c r="M65" s="12"/>
      <c r="N65" s="12"/>
      <c r="O65" s="12"/>
      <c r="P65" s="12"/>
      <c r="Q65" s="12"/>
      <c r="R65" s="12"/>
      <c r="S65" s="12"/>
      <c r="T65" s="12"/>
      <c r="U65" s="12"/>
      <c r="V65" s="12"/>
      <c r="W65" s="12"/>
      <c r="X65" s="12"/>
      <c r="Y65" s="12"/>
      <c r="Z65" s="12"/>
    </row>
    <row r="66">
      <c r="A66" s="22" t="s">
        <v>11</v>
      </c>
      <c r="B66" s="24">
        <f>COUNTIF('Purchase&amp;Discount- Data'!D$2:D$49,A66)</f>
        <v>13</v>
      </c>
      <c r="C66" s="15" t="str">
        <f t="shared" si="2"/>
        <v>No</v>
      </c>
      <c r="D66" s="12"/>
      <c r="E66" s="12"/>
      <c r="F66" s="12"/>
      <c r="G66" s="12"/>
      <c r="H66" s="12"/>
      <c r="I66" s="12"/>
      <c r="J66" s="12"/>
      <c r="K66" s="12"/>
      <c r="L66" s="12"/>
      <c r="M66" s="12"/>
      <c r="N66" s="12"/>
      <c r="O66" s="12"/>
      <c r="P66" s="12"/>
      <c r="Q66" s="12"/>
      <c r="R66" s="12"/>
      <c r="S66" s="12"/>
      <c r="T66" s="12"/>
      <c r="U66" s="12"/>
      <c r="V66" s="12"/>
      <c r="W66" s="12"/>
      <c r="X66" s="12"/>
      <c r="Y66" s="12"/>
      <c r="Z66" s="12"/>
    </row>
    <row r="67">
      <c r="A67" s="22" t="s">
        <v>13</v>
      </c>
      <c r="B67" s="24">
        <f>COUNTIF('Purchase&amp;Discount- Data'!D$2:D$49,A67)</f>
        <v>6</v>
      </c>
      <c r="C67" s="15" t="str">
        <f t="shared" si="2"/>
        <v>No</v>
      </c>
      <c r="D67" s="12"/>
      <c r="E67" s="12"/>
      <c r="F67" s="12"/>
      <c r="G67" s="12"/>
      <c r="H67" s="12"/>
      <c r="I67" s="12"/>
      <c r="J67" s="12"/>
      <c r="K67" s="12"/>
      <c r="L67" s="12"/>
      <c r="M67" s="12"/>
      <c r="N67" s="12"/>
      <c r="O67" s="12"/>
      <c r="P67" s="12"/>
      <c r="Q67" s="12"/>
      <c r="R67" s="12"/>
      <c r="S67" s="12"/>
      <c r="T67" s="12"/>
      <c r="U67" s="12"/>
      <c r="V67" s="12"/>
      <c r="W67" s="12"/>
      <c r="X67" s="12"/>
      <c r="Y67" s="12"/>
      <c r="Z67" s="12"/>
    </row>
    <row r="68">
      <c r="A68" s="34" t="s">
        <v>16</v>
      </c>
      <c r="B68" s="24">
        <f>COUNTIF('Purchase&amp;Discount- Data'!D$2:D$49,A68)</f>
        <v>13</v>
      </c>
      <c r="C68" s="15" t="str">
        <f t="shared" si="2"/>
        <v>No</v>
      </c>
      <c r="D68" s="12"/>
      <c r="E68" s="12"/>
      <c r="F68" s="12"/>
      <c r="G68" s="12"/>
      <c r="H68" s="12"/>
      <c r="I68" s="12"/>
      <c r="J68" s="12"/>
      <c r="K68" s="12"/>
      <c r="L68" s="12"/>
      <c r="M68" s="12"/>
      <c r="N68" s="12"/>
      <c r="O68" s="12"/>
      <c r="P68" s="12"/>
      <c r="Q68" s="12"/>
      <c r="R68" s="12"/>
      <c r="S68" s="12"/>
      <c r="T68" s="12"/>
      <c r="U68" s="12"/>
      <c r="V68" s="12"/>
      <c r="W68" s="12"/>
      <c r="X68" s="12"/>
      <c r="Y68" s="12"/>
      <c r="Z68" s="12"/>
    </row>
    <row r="69">
      <c r="A69" s="26"/>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28" t="s">
        <v>137</v>
      </c>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1" t="s">
        <v>138</v>
      </c>
      <c r="B71" s="13"/>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4" t="s">
        <v>64</v>
      </c>
      <c r="B72" s="15" t="str">
        <f>IFERROR(__xludf.DUMMYFUNCTION("FILTER('Purchase&amp;Discount- Data'!A2:A49,'Purchase&amp;Discount- Data'!E2:E49=MINIFS('Purchase&amp;Discount- Data'!E2:E49,'Purchase&amp;Discount- Data'!B2:B49,""Utility""))"),"OD_016")</f>
        <v>OD_016</v>
      </c>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1" t="s">
        <v>139</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1" t="s">
        <v>140</v>
      </c>
      <c r="B75" s="13"/>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4" t="s">
        <v>64</v>
      </c>
      <c r="B76" s="35">
        <f>AVERAGEIFS('Purchase&amp;Discount- Data'!F2:F49,'Purchase&amp;Discount- Data'!B2:B49,"Electronics")</f>
        <v>723.6</v>
      </c>
      <c r="C76" s="26"/>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28" t="s">
        <v>141</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25" t="s">
        <v>142</v>
      </c>
      <c r="B79" s="13"/>
      <c r="C79" s="13"/>
      <c r="D79" s="12"/>
      <c r="E79" s="12"/>
      <c r="F79" s="12"/>
      <c r="G79" s="12"/>
      <c r="H79" s="12"/>
      <c r="I79" s="12"/>
      <c r="J79" s="12"/>
      <c r="K79" s="12"/>
      <c r="L79" s="12"/>
      <c r="M79" s="12"/>
      <c r="N79" s="12"/>
      <c r="O79" s="12"/>
      <c r="P79" s="12"/>
      <c r="Q79" s="12"/>
      <c r="R79" s="12"/>
      <c r="S79" s="12"/>
      <c r="T79" s="12"/>
      <c r="U79" s="12"/>
      <c r="V79" s="12"/>
      <c r="W79" s="12"/>
      <c r="X79" s="12"/>
      <c r="Y79" s="12"/>
      <c r="Z79" s="12"/>
    </row>
    <row r="80">
      <c r="A80" s="32" t="s">
        <v>1</v>
      </c>
      <c r="B80" s="33" t="s">
        <v>143</v>
      </c>
      <c r="C80" s="33" t="s">
        <v>136</v>
      </c>
      <c r="D80" s="12"/>
      <c r="E80" s="12"/>
      <c r="F80" s="12"/>
      <c r="G80" s="12"/>
      <c r="H80" s="12"/>
      <c r="I80" s="12"/>
      <c r="J80" s="12"/>
      <c r="K80" s="12"/>
      <c r="L80" s="12"/>
      <c r="M80" s="12"/>
      <c r="N80" s="12"/>
      <c r="O80" s="12"/>
      <c r="P80" s="12"/>
      <c r="Q80" s="12"/>
      <c r="R80" s="12"/>
      <c r="S80" s="12"/>
      <c r="T80" s="12"/>
      <c r="U80" s="12"/>
      <c r="V80" s="12"/>
      <c r="W80" s="12"/>
      <c r="X80" s="12"/>
      <c r="Y80" s="12"/>
      <c r="Z80" s="12"/>
    </row>
    <row r="81">
      <c r="A81" s="22" t="s">
        <v>7</v>
      </c>
      <c r="B81" s="24">
        <f>COUNTIF('Purchase&amp;Discount- Data'!B$2:B$49,A81)</f>
        <v>7</v>
      </c>
      <c r="C81" s="15" t="str">
        <f t="shared" ref="C81:C85" si="3">IF(B81=MAX(B$81:B$85),"Yes","No")</f>
        <v>No</v>
      </c>
      <c r="D81" s="12"/>
      <c r="E81" s="12"/>
      <c r="F81" s="12"/>
      <c r="G81" s="12"/>
      <c r="H81" s="12"/>
      <c r="I81" s="12"/>
      <c r="J81" s="12"/>
      <c r="K81" s="12"/>
      <c r="L81" s="12"/>
      <c r="M81" s="12"/>
      <c r="N81" s="12"/>
      <c r="O81" s="12"/>
      <c r="P81" s="12"/>
      <c r="Q81" s="12"/>
      <c r="R81" s="12"/>
      <c r="S81" s="12"/>
      <c r="T81" s="12"/>
      <c r="U81" s="12"/>
      <c r="V81" s="12"/>
      <c r="W81" s="12"/>
      <c r="X81" s="12"/>
      <c r="Y81" s="12"/>
      <c r="Z81" s="12"/>
    </row>
    <row r="82">
      <c r="A82" s="22" t="s">
        <v>10</v>
      </c>
      <c r="B82" s="24">
        <f>COUNTIF('Purchase&amp;Discount- Data'!B$2:B$49,A82)</f>
        <v>14</v>
      </c>
      <c r="C82" s="15" t="str">
        <f t="shared" si="3"/>
        <v>Yes</v>
      </c>
      <c r="D82" s="12"/>
      <c r="E82" s="12"/>
      <c r="F82" s="12"/>
      <c r="G82" s="12"/>
      <c r="H82" s="12"/>
      <c r="I82" s="12"/>
      <c r="J82" s="12"/>
      <c r="K82" s="12"/>
      <c r="L82" s="12"/>
      <c r="M82" s="12"/>
      <c r="N82" s="12"/>
      <c r="O82" s="12"/>
      <c r="P82" s="12"/>
      <c r="Q82" s="12"/>
      <c r="R82" s="12"/>
      <c r="S82" s="12"/>
      <c r="T82" s="12"/>
      <c r="U82" s="12"/>
      <c r="V82" s="12"/>
      <c r="W82" s="12"/>
      <c r="X82" s="12"/>
      <c r="Y82" s="12"/>
      <c r="Z82" s="12"/>
    </row>
    <row r="83">
      <c r="A83" s="22" t="s">
        <v>15</v>
      </c>
      <c r="B83" s="24">
        <f>COUNTIF('Purchase&amp;Discount- Data'!B$2:B$49,A83)</f>
        <v>9</v>
      </c>
      <c r="C83" s="15" t="str">
        <f t="shared" si="3"/>
        <v>No</v>
      </c>
      <c r="D83" s="12"/>
      <c r="E83" s="12"/>
      <c r="F83" s="12"/>
      <c r="G83" s="12"/>
      <c r="H83" s="12"/>
      <c r="I83" s="12"/>
      <c r="J83" s="12"/>
      <c r="K83" s="12"/>
      <c r="L83" s="12"/>
      <c r="M83" s="12"/>
      <c r="N83" s="12"/>
      <c r="O83" s="12"/>
      <c r="P83" s="12"/>
      <c r="Q83" s="12"/>
      <c r="R83" s="12"/>
      <c r="S83" s="12"/>
      <c r="T83" s="12"/>
      <c r="U83" s="12"/>
      <c r="V83" s="12"/>
      <c r="W83" s="12"/>
      <c r="X83" s="12"/>
      <c r="Y83" s="12"/>
      <c r="Z83" s="12"/>
    </row>
    <row r="84">
      <c r="A84" s="22" t="s">
        <v>21</v>
      </c>
      <c r="B84" s="24">
        <f>COUNTIF('Purchase&amp;Discount- Data'!B$2:B$49,A84)</f>
        <v>10</v>
      </c>
      <c r="C84" s="15" t="str">
        <f t="shared" si="3"/>
        <v>No</v>
      </c>
      <c r="D84" s="12"/>
      <c r="E84" s="12"/>
      <c r="F84" s="12"/>
      <c r="G84" s="12"/>
      <c r="H84" s="12"/>
      <c r="I84" s="12"/>
      <c r="J84" s="12"/>
      <c r="K84" s="12"/>
      <c r="L84" s="12"/>
      <c r="M84" s="12"/>
      <c r="N84" s="12"/>
      <c r="O84" s="12"/>
      <c r="P84" s="12"/>
      <c r="Q84" s="12"/>
      <c r="R84" s="12"/>
      <c r="S84" s="12"/>
      <c r="T84" s="12"/>
      <c r="U84" s="12"/>
      <c r="V84" s="12"/>
      <c r="W84" s="12"/>
      <c r="X84" s="12"/>
      <c r="Y84" s="12"/>
      <c r="Z84" s="12"/>
    </row>
    <row r="85">
      <c r="A85" s="22" t="s">
        <v>25</v>
      </c>
      <c r="B85" s="24">
        <f>COUNTIF('Purchase&amp;Discount- Data'!B$2:B$49,A85)</f>
        <v>8</v>
      </c>
      <c r="C85" s="15" t="str">
        <f t="shared" si="3"/>
        <v>No</v>
      </c>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sheetData>
  <drawing r:id="rId1"/>
</worksheet>
</file>