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ck Data" sheetId="1" r:id="rId4"/>
    <sheet state="visible" name="Task 2- Questions" sheetId="2" r:id="rId5"/>
    <sheet state="visible" name="Task 3- Questions" sheetId="3" r:id="rId6"/>
    <sheet state="visible" name="Task 4- Questions" sheetId="4" r:id="rId7"/>
  </sheets>
  <definedNames/>
  <calcPr/>
</workbook>
</file>

<file path=xl/sharedStrings.xml><?xml version="1.0" encoding="utf-8"?>
<sst xmlns="http://schemas.openxmlformats.org/spreadsheetml/2006/main" count="197" uniqueCount="95">
  <si>
    <t>Company Names</t>
  </si>
  <si>
    <t>Sector</t>
  </si>
  <si>
    <t>Headquarter</t>
  </si>
  <si>
    <t>Market Cap (in Crores)</t>
  </si>
  <si>
    <t>PB Ratio</t>
  </si>
  <si>
    <t>PE Ratio</t>
  </si>
  <si>
    <t>ROE</t>
  </si>
  <si>
    <t>ROCE</t>
  </si>
  <si>
    <t>Market Price per share</t>
  </si>
  <si>
    <t>Category</t>
  </si>
  <si>
    <t>Fids Ltd.</t>
  </si>
  <si>
    <t>FMCG</t>
  </si>
  <si>
    <t>Bangalore</t>
  </si>
  <si>
    <t>Stellar Dynamics</t>
  </si>
  <si>
    <t>Technology</t>
  </si>
  <si>
    <t>Delhi</t>
  </si>
  <si>
    <t>Nebula Tech</t>
  </si>
  <si>
    <t>Mumbai</t>
  </si>
  <si>
    <t>Quantum Banks</t>
  </si>
  <si>
    <t>Finance</t>
  </si>
  <si>
    <t>Fusion Banks</t>
  </si>
  <si>
    <t>SwiftGro</t>
  </si>
  <si>
    <t>Quantum Ltd.</t>
  </si>
  <si>
    <t>IDV Insurance</t>
  </si>
  <si>
    <t>Synergetic Systems</t>
  </si>
  <si>
    <t>Aetherial Investments</t>
  </si>
  <si>
    <t>Nexus Ltd.</t>
  </si>
  <si>
    <t>FastFare</t>
  </si>
  <si>
    <t>Vertex Solutions</t>
  </si>
  <si>
    <t>ZoomFoods</t>
  </si>
  <si>
    <t>Solstice Industries</t>
  </si>
  <si>
    <t>Manufacturing</t>
  </si>
  <si>
    <t>Titan Innovations</t>
  </si>
  <si>
    <t>Horizon Insurance</t>
  </si>
  <si>
    <t>BlazeBites</t>
  </si>
  <si>
    <t>Interstellar Innovators</t>
  </si>
  <si>
    <t>Infinite Insights</t>
  </si>
  <si>
    <t>Q1- How many companies have PE Ratio lesser than 30 and PB Ratio highest than 5?</t>
  </si>
  <si>
    <t>Answer-</t>
  </si>
  <si>
    <t>Q2- What is the total market capitalisation of small cap companies whose ROCE is greater than 30 (percent) situated in Mumbai</t>
  </si>
  <si>
    <t>Q3- What is the average ROE of Mid Cap companies whose headquarters are in Delhi?</t>
  </si>
  <si>
    <t>Q4- How many companies from the given list are Large Cap companies and have ROE more than 10?</t>
  </si>
  <si>
    <t>Q5- How many companies have market cap greater than 14000 and ROE greater than 10 (percent)?</t>
  </si>
  <si>
    <t>Q6- An investor resides in Mumbai and wants to visit the companies (Large cap) whose company headquarter is in his city which are in the Technology sector.</t>
  </si>
  <si>
    <t>How many companies from the given list can he visit?</t>
  </si>
  <si>
    <t>Q7- What is the total Market Cap of Small Cap companies headequartered in Mumbai whose ROE is greater than 20 (percent)?</t>
  </si>
  <si>
    <t>Q8- What is the average ROE of Mid Cap companies whose market price is lesser than Rs. 100 but more than Rs. 10?</t>
  </si>
  <si>
    <t>Q9- How many companies headquartered in Delhi have Market Cap greater than Rs. 20000 and ROCE greater than 10 (percent)?</t>
  </si>
  <si>
    <t>Q10- What is the average ROE of mid cap companies if only those companies are taken whose market cap is greater than 15000?</t>
  </si>
  <si>
    <t>Q11- What is average Market Cap of Large Cap Finance stocks?</t>
  </si>
  <si>
    <t>Q12- List down the names of all large cap stocks that have Market price per share of more than Rs. 500.</t>
  </si>
  <si>
    <t xml:space="preserve">Answer- </t>
  </si>
  <si>
    <t xml:space="preserve">Q1- If Market Price per share is more than or equal to Rs. 100, then check if PB Ratio is more than 3, "Overpriced" else "Underpriced". If MPS is less than Rs. 100, then "Penny Stock". </t>
  </si>
  <si>
    <t>Based on the above condition, grade the below stocks as Penny Stocks, Overvalued or Undervalued.</t>
  </si>
  <si>
    <t>MPS</t>
  </si>
  <si>
    <t>Grade</t>
  </si>
  <si>
    <t>Q2- If a stock has PE Ratio of greater than 20, then it is "Not Recommended" stock. If the stock has PE Ratio lesser than or equal to 20, then it is a "Recommended" stock only if its ROE is greater than 15 (percent).</t>
  </si>
  <si>
    <t>Is Fids Ltd. a recommended stock? Answer in "Recommended" or "Not Recommended".</t>
  </si>
  <si>
    <t>Q3- An investor wants to invest in an FMCG stock which has PB ratio less than 3. Is SwiftGro Suitable stock for him? Answer in "Yes" or  "No".</t>
  </si>
  <si>
    <t>Q4- Ramesh is an investor who wants to invest in Large Cap Finance stocks, whose PE ratio is &lt;20. Is Fusion Banks, SwiftGro and Vertex Solutions good investments for the investor? Answer in "Yes" or "No".</t>
  </si>
  <si>
    <t>Small/ Mid/ Large Cap</t>
  </si>
  <si>
    <t>Yes/ No</t>
  </si>
  <si>
    <t xml:space="preserve">Q5- Neha is an investor looking to "Buy", "Hold" or "Sell" the stocks that are listed below. </t>
  </si>
  <si>
    <t>If Market price of the stock is lesser than Rs. 200 then "Buy" stock else check if ROE of the stock is greater than 10, then "Hold" the stock else "Sell" it.</t>
  </si>
  <si>
    <t>Identify which of the below stocks should Neha "Buy", "Hold" and "Sell".</t>
  </si>
  <si>
    <t>Market price per share</t>
  </si>
  <si>
    <t>Answer</t>
  </si>
  <si>
    <t>Q6- Rajni wants to analyse the Fusion Banks stock. He wants to categorise it as "Ideal" or "Adverse" based on the below criteria.</t>
  </si>
  <si>
    <t xml:space="preserve">Ideal if ROE is greater than 11%, else check the PE Ratio. If PE Ratio is lesser than 5, then "Ideal" else "Adverse" </t>
  </si>
  <si>
    <t>Identify if Fusion Banks stock is Ideal or Adverse for Rajni.</t>
  </si>
  <si>
    <t>Q7- From the given stocks identify which stocks are recommended by experts based on the below conditions.</t>
  </si>
  <si>
    <t>If sector is Technology then check PE Ratio. If PE Ratio greater than 10 then "No" else "Yes".</t>
  </si>
  <si>
    <t>If sector is Finance then check PE Ratio. If PE Ratio greater than 15 then "No" else "Yes".</t>
  </si>
  <si>
    <t>If sector is FMCG then check PE Ratio. If PE Ratio greater than 5 then "No" else "Yes".</t>
  </si>
  <si>
    <t>PE</t>
  </si>
  <si>
    <t>Q8- If a stock has PB Ratio of greater than 20, then it is a "Not Recommended" stock. If the stock has PB Ratio of lesser than or equal to 20, then it is a "Recommended" stock only if its ROCE is greater than 20 (percent).</t>
  </si>
  <si>
    <t>Is Solstice Industries a recommended stock? Answer in "Recommended" or "Not Recommended".</t>
  </si>
  <si>
    <t xml:space="preserve">Q1- If ROE is greater than 20 then it is a highly profitable company, else it is not a highly profitable company. </t>
  </si>
  <si>
    <t>Based on the data given above, form a sentence for the companies listed below. The first one has been given as an example.</t>
  </si>
  <si>
    <t>Remarks</t>
  </si>
  <si>
    <t>IDV Insurance is not a highly profitable company.</t>
  </si>
  <si>
    <t>Q2- What is the PE Ratio of the company with the highest market cap?</t>
  </si>
  <si>
    <t>Q3- An investor wants to invest in the Large Cap company which has the lowest PE ratio. What is the name of this stock?</t>
  </si>
  <si>
    <t>Q4- Vishesh is an investor whose investment preferences are as follows-</t>
  </si>
  <si>
    <t>Headquarter =</t>
  </si>
  <si>
    <t>ROE &gt;</t>
  </si>
  <si>
    <t xml:space="preserve">Are SwiftGro, Synergetic Systems and Interstellar Innovators suitable investments for him? Make a table with Company Names and Answer columns and answer in "Yes" or "No". </t>
  </si>
  <si>
    <t>Q5- What the name of the stock with the least ROCE?</t>
  </si>
  <si>
    <t>Q6- Alia is an investor who wants to invest in a Technology stock that has the highest ROE and is headquartered in Bangalore? Which stock should she invest in?</t>
  </si>
  <si>
    <t>Q7- Anju is an investor who wishes to know name of the mid cap stock which has the highest market cap with lowest ROE. Help Anju find the name of this stock.</t>
  </si>
  <si>
    <t>Q8- If Headquarter is in Delhi then "Delhi based company". If headquarter is in Mumbai then "Mumbai based company". If headquarter is in Bangalore then "Bangalore based company".</t>
  </si>
  <si>
    <t>Fusion Banks is a Mumbai based company</t>
  </si>
  <si>
    <t>Q9- If Anya is an investor who is tracking the stocks given in the below list. She wants to invest in the stock which has the highest ROE.</t>
  </si>
  <si>
    <t>Identify which stock she should choose from the below given list. Answer in "Select" or "Leave"</t>
  </si>
  <si>
    <t xml:space="preserve">Q10- Which Technology stock has the highest Market Cap and is headquartered in Bangalore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</si>
</sst>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b/>
      <color theme="1"/>
      <name val="Arial"/>
    </font>
    <font>
      <color rgb="FF000000"/>
      <name val="Arial"/>
    </font>
  </fonts>
  <fills count="5">
    <fill>
      <patternFill patternType="none"/>
    </fill>
    <fill>
      <patternFill patternType="lightGray"/>
    </fill>
    <fill>
      <patternFill patternType="solid">
        <fgColor rgb="FFCCCCCC"/>
        <bgColor rgb="FFCCCCCC"/>
      </patternFill>
    </fill>
    <fill>
      <patternFill patternType="solid">
        <fgColor rgb="FFD9EAD3"/>
        <bgColor rgb="FFD9EAD3"/>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3" fontId="2" numFmtId="4" xfId="0" applyAlignment="1" applyFont="1" applyNumberFormat="1">
      <alignment readingOrder="0"/>
    </xf>
    <xf borderId="0" fillId="3" fontId="2" numFmtId="4" xfId="0" applyFont="1" applyNumberFormat="1"/>
    <xf borderId="0" fillId="3" fontId="2" numFmtId="0" xfId="0" applyFont="1"/>
    <xf borderId="0" fillId="0" fontId="2" numFmtId="0" xfId="0" applyFont="1"/>
    <xf borderId="0" fillId="0" fontId="2" numFmtId="4" xfId="0" applyFont="1" applyNumberFormat="1"/>
    <xf borderId="0" fillId="0" fontId="2" numFmtId="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4" fontId="1" numFmtId="0" xfId="0" applyAlignment="1" applyFill="1" applyFont="1">
      <alignment readingOrder="0"/>
    </xf>
    <xf borderId="1" fillId="4" fontId="2" numFmtId="0" xfId="0" applyBorder="1" applyFont="1"/>
    <xf borderId="0" fillId="4" fontId="2" numFmtId="0" xfId="0" applyFont="1"/>
    <xf borderId="0" fillId="4" fontId="2" numFmtId="0" xfId="0" applyAlignment="1" applyFont="1">
      <alignment readingOrder="0"/>
    </xf>
    <xf borderId="0" fillId="4" fontId="2" numFmtId="4" xfId="0" applyFont="1" applyNumberFormat="1"/>
    <xf borderId="1" fillId="4" fontId="2" numFmtId="4" xfId="0" applyBorder="1" applyFont="1" applyNumberFormat="1"/>
    <xf borderId="0" fillId="0" fontId="3" numFmtId="0" xfId="0" applyAlignment="1" applyFont="1">
      <alignment shrinkToFit="0" vertical="bottom" wrapText="0"/>
    </xf>
    <xf borderId="0" fillId="0" fontId="3" numFmtId="0" xfId="0" applyAlignment="1" applyFont="1">
      <alignment vertical="bottom"/>
    </xf>
    <xf borderId="2" fillId="0" fontId="4" numFmtId="0" xfId="0" applyAlignment="1" applyBorder="1" applyFont="1">
      <alignment vertical="bottom"/>
    </xf>
    <xf borderId="2" fillId="0" fontId="3" numFmtId="0" xfId="0" applyAlignment="1" applyBorder="1" applyFont="1">
      <alignment vertical="bottom"/>
    </xf>
    <xf borderId="3" fillId="2" fontId="4" numFmtId="0" xfId="0" applyAlignment="1" applyBorder="1" applyFont="1">
      <alignment vertical="bottom"/>
    </xf>
    <xf borderId="4" fillId="2" fontId="4" numFmtId="0" xfId="0" applyAlignment="1" applyBorder="1" applyFont="1">
      <alignment vertical="bottom"/>
    </xf>
    <xf borderId="3" fillId="0" fontId="3" numFmtId="0" xfId="0" applyAlignment="1" applyBorder="1" applyFont="1">
      <alignment vertical="bottom"/>
    </xf>
    <xf borderId="4" fillId="0" fontId="3" numFmtId="0" xfId="0" applyAlignment="1" applyBorder="1" applyFont="1">
      <alignment horizontal="right" vertical="bottom"/>
    </xf>
    <xf borderId="4" fillId="0" fontId="3" numFmtId="0" xfId="0" applyAlignment="1" applyBorder="1" applyFont="1">
      <alignment vertical="bottom"/>
    </xf>
    <xf borderId="3" fillId="0" fontId="3" numFmtId="0" xfId="0" applyAlignment="1" applyBorder="1" applyFont="1">
      <alignment vertical="bottom"/>
    </xf>
    <xf borderId="0" fillId="0" fontId="3" numFmtId="0" xfId="0" applyAlignment="1" applyFont="1">
      <alignment vertical="bottom"/>
    </xf>
    <xf borderId="0" fillId="0" fontId="3" numFmtId="0" xfId="0" applyAlignment="1" applyFont="1">
      <alignment readingOrder="0" shrinkToFit="0" vertical="bottom" wrapText="0"/>
    </xf>
    <xf borderId="0" fillId="4" fontId="3" numFmtId="0" xfId="0" applyAlignment="1" applyFont="1">
      <alignment shrinkToFit="0" vertical="bottom" wrapText="0"/>
    </xf>
    <xf borderId="0" fillId="0" fontId="4" numFmtId="0" xfId="0" applyAlignment="1" applyFont="1">
      <alignment vertical="bottom"/>
    </xf>
    <xf borderId="1" fillId="0" fontId="3" numFmtId="0" xfId="0" applyAlignment="1" applyBorder="1" applyFont="1">
      <alignment vertical="bottom"/>
    </xf>
    <xf borderId="0" fillId="0" fontId="3" numFmtId="0" xfId="0" applyAlignment="1" applyFont="1">
      <alignment shrinkToFit="0" vertical="bottom" wrapText="0"/>
    </xf>
    <xf borderId="0" fillId="0" fontId="4" numFmtId="0" xfId="0" applyAlignment="1" applyFont="1">
      <alignment vertical="bottom"/>
    </xf>
    <xf borderId="1" fillId="0" fontId="3" numFmtId="0" xfId="0" applyAlignment="1" applyBorder="1" applyFont="1">
      <alignment vertical="bottom"/>
    </xf>
    <xf borderId="1" fillId="2" fontId="1" numFmtId="0" xfId="0" applyAlignment="1" applyBorder="1" applyFont="1">
      <alignment readingOrder="0"/>
    </xf>
    <xf borderId="1" fillId="0" fontId="2" numFmtId="0" xfId="0" applyAlignment="1" applyBorder="1" applyFont="1">
      <alignment readingOrder="0"/>
    </xf>
    <xf borderId="1" fillId="0" fontId="2" numFmtId="0" xfId="0" applyBorder="1" applyFont="1"/>
    <xf borderId="1" fillId="0" fontId="2" numFmtId="4" xfId="0" applyBorder="1" applyFont="1" applyNumberFormat="1"/>
    <xf borderId="0" fillId="4" fontId="5" numFmtId="0" xfId="0" applyAlignment="1" applyFont="1">
      <alignment horizontal="left" readingOrder="0"/>
    </xf>
    <xf borderId="0" fillId="4" fontId="1" numFmtId="0" xfId="0" applyFont="1"/>
    <xf borderId="5" fillId="0" fontId="4" numFmtId="0" xfId="0" applyAlignment="1" applyBorder="1" applyFont="1">
      <alignment vertical="bottom"/>
    </xf>
    <xf borderId="0" fillId="0" fontId="2" numFmtId="0" xfId="0" applyAlignment="1" applyFont="1">
      <alignment horizontal="left" readingOrder="0"/>
    </xf>
    <xf borderId="1" fillId="4" fontId="5"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4" max="4" width="18.88"/>
    <col customWidth="1" min="9" max="9" width="18.88"/>
  </cols>
  <sheetData>
    <row r="1">
      <c r="A1" s="1" t="s">
        <v>0</v>
      </c>
      <c r="B1" s="1" t="s">
        <v>1</v>
      </c>
      <c r="C1" s="1" t="s">
        <v>2</v>
      </c>
      <c r="D1" s="1" t="s">
        <v>3</v>
      </c>
      <c r="E1" s="1" t="s">
        <v>4</v>
      </c>
      <c r="F1" s="1" t="s">
        <v>5</v>
      </c>
      <c r="G1" s="1" t="s">
        <v>6</v>
      </c>
      <c r="H1" s="1" t="s">
        <v>7</v>
      </c>
      <c r="I1" s="1" t="s">
        <v>8</v>
      </c>
      <c r="J1" s="1" t="s">
        <v>9</v>
      </c>
    </row>
    <row r="2">
      <c r="A2" s="2" t="s">
        <v>10</v>
      </c>
      <c r="B2" s="3" t="s">
        <v>11</v>
      </c>
      <c r="C2" s="4" t="s">
        <v>12</v>
      </c>
      <c r="D2" s="4">
        <v>30043.28</v>
      </c>
      <c r="E2" s="5">
        <v>2.1</v>
      </c>
      <c r="F2" s="5">
        <v>26.88</v>
      </c>
      <c r="G2" s="5">
        <v>10.12</v>
      </c>
      <c r="H2" s="5">
        <v>11.05</v>
      </c>
      <c r="I2" s="5">
        <v>10.23</v>
      </c>
      <c r="J2" s="6" t="str">
        <f t="shared" ref="J2:J21" si="1">IFS(D2&lt;10000,"Small Cap",D2&lt;35000,"Mid Cap",D2&gt;=35000,"Large Cap")</f>
        <v>Mid Cap</v>
      </c>
    </row>
    <row r="3">
      <c r="A3" s="2" t="s">
        <v>13</v>
      </c>
      <c r="B3" s="3" t="s">
        <v>14</v>
      </c>
      <c r="C3" s="4" t="s">
        <v>15</v>
      </c>
      <c r="D3" s="3">
        <v>9253.22</v>
      </c>
      <c r="E3" s="5">
        <v>3.89</v>
      </c>
      <c r="F3" s="5">
        <v>16.9</v>
      </c>
      <c r="G3" s="5">
        <v>9.74</v>
      </c>
      <c r="H3" s="5">
        <v>9.08</v>
      </c>
      <c r="I3" s="5">
        <v>15.59</v>
      </c>
      <c r="J3" s="6" t="str">
        <f t="shared" si="1"/>
        <v>Small Cap</v>
      </c>
    </row>
    <row r="4">
      <c r="A4" s="2" t="s">
        <v>16</v>
      </c>
      <c r="B4" s="3" t="s">
        <v>14</v>
      </c>
      <c r="C4" s="4" t="s">
        <v>17</v>
      </c>
      <c r="D4" s="3">
        <v>7913.44</v>
      </c>
      <c r="E4" s="5">
        <v>5.35</v>
      </c>
      <c r="F4" s="5">
        <v>30.99</v>
      </c>
      <c r="G4" s="5">
        <v>27.82</v>
      </c>
      <c r="H4" s="5">
        <v>30.38</v>
      </c>
      <c r="I4" s="5">
        <v>5.5</v>
      </c>
      <c r="J4" s="6" t="str">
        <f t="shared" si="1"/>
        <v>Small Cap</v>
      </c>
    </row>
    <row r="5">
      <c r="A5" s="2" t="s">
        <v>18</v>
      </c>
      <c r="B5" s="3" t="s">
        <v>19</v>
      </c>
      <c r="C5" s="4" t="s">
        <v>15</v>
      </c>
      <c r="D5" s="3">
        <v>76679.81</v>
      </c>
      <c r="E5" s="5">
        <v>4.69</v>
      </c>
      <c r="F5" s="4">
        <v>14144.07</v>
      </c>
      <c r="G5" s="5">
        <v>0.21</v>
      </c>
      <c r="H5" s="5">
        <v>0.29</v>
      </c>
      <c r="I5" s="5">
        <v>547.89</v>
      </c>
      <c r="J5" s="6" t="str">
        <f t="shared" si="1"/>
        <v>Large Cap</v>
      </c>
    </row>
    <row r="6">
      <c r="A6" s="2" t="s">
        <v>20</v>
      </c>
      <c r="B6" s="3" t="s">
        <v>19</v>
      </c>
      <c r="C6" s="4" t="s">
        <v>17</v>
      </c>
      <c r="D6" s="4">
        <v>32007.57</v>
      </c>
      <c r="E6" s="5">
        <v>4.84</v>
      </c>
      <c r="F6" s="5">
        <v>44.12</v>
      </c>
      <c r="G6" s="5">
        <v>12.42</v>
      </c>
      <c r="H6" s="5">
        <v>14.83</v>
      </c>
      <c r="I6" s="5">
        <v>45.33</v>
      </c>
      <c r="J6" s="6" t="str">
        <f t="shared" si="1"/>
        <v>Mid Cap</v>
      </c>
    </row>
    <row r="7">
      <c r="A7" s="2" t="s">
        <v>21</v>
      </c>
      <c r="B7" s="3" t="s">
        <v>11</v>
      </c>
      <c r="C7" s="4" t="s">
        <v>15</v>
      </c>
      <c r="D7" s="4">
        <v>32645.13</v>
      </c>
      <c r="E7" s="5">
        <v>1.93</v>
      </c>
      <c r="F7" s="5">
        <v>9.55</v>
      </c>
      <c r="G7" s="5">
        <v>19.68</v>
      </c>
      <c r="H7" s="5">
        <v>18.4</v>
      </c>
      <c r="I7" s="5">
        <v>2.05</v>
      </c>
      <c r="J7" s="6" t="str">
        <f t="shared" si="1"/>
        <v>Mid Cap</v>
      </c>
    </row>
    <row r="8">
      <c r="A8" s="2" t="s">
        <v>22</v>
      </c>
      <c r="B8" s="3" t="s">
        <v>11</v>
      </c>
      <c r="C8" s="4" t="s">
        <v>17</v>
      </c>
      <c r="D8" s="3">
        <v>3713.97</v>
      </c>
      <c r="E8" s="5">
        <v>4.6</v>
      </c>
      <c r="F8" s="5">
        <v>23.54</v>
      </c>
      <c r="G8" s="5">
        <v>20.94</v>
      </c>
      <c r="H8" s="5">
        <v>17.7</v>
      </c>
      <c r="I8" s="5">
        <v>1.61</v>
      </c>
      <c r="J8" s="6" t="str">
        <f t="shared" si="1"/>
        <v>Small Cap</v>
      </c>
    </row>
    <row r="9">
      <c r="A9" s="2" t="s">
        <v>23</v>
      </c>
      <c r="B9" s="3" t="s">
        <v>19</v>
      </c>
      <c r="C9" s="4" t="s">
        <v>12</v>
      </c>
      <c r="D9" s="3">
        <v>62721.55</v>
      </c>
      <c r="E9" s="5">
        <v>9.81</v>
      </c>
      <c r="F9" s="5">
        <v>73.79</v>
      </c>
      <c r="G9" s="5">
        <v>14.59</v>
      </c>
      <c r="H9" s="5">
        <v>19.72</v>
      </c>
      <c r="I9" s="2">
        <v>436.49</v>
      </c>
      <c r="J9" s="6" t="str">
        <f t="shared" si="1"/>
        <v>Large Cap</v>
      </c>
    </row>
    <row r="10">
      <c r="A10" s="2" t="s">
        <v>24</v>
      </c>
      <c r="B10" s="3" t="s">
        <v>14</v>
      </c>
      <c r="C10" s="4" t="s">
        <v>17</v>
      </c>
      <c r="D10" s="3">
        <v>723.31</v>
      </c>
      <c r="E10" s="5">
        <v>3.65</v>
      </c>
      <c r="F10" s="5">
        <v>15.82</v>
      </c>
      <c r="G10" s="5">
        <v>28.78</v>
      </c>
      <c r="H10" s="5">
        <v>41.09</v>
      </c>
      <c r="I10" s="5">
        <v>1.11</v>
      </c>
      <c r="J10" s="6" t="str">
        <f t="shared" si="1"/>
        <v>Small Cap</v>
      </c>
    </row>
    <row r="11">
      <c r="A11" s="2" t="s">
        <v>25</v>
      </c>
      <c r="B11" s="3" t="s">
        <v>19</v>
      </c>
      <c r="C11" s="4" t="s">
        <v>12</v>
      </c>
      <c r="D11" s="3">
        <v>23618.77</v>
      </c>
      <c r="E11" s="5">
        <v>1.98</v>
      </c>
      <c r="F11" s="5">
        <v>17.69</v>
      </c>
      <c r="G11" s="5">
        <v>12.15</v>
      </c>
      <c r="H11" s="5">
        <v>8.9</v>
      </c>
      <c r="I11" s="5">
        <v>3.08</v>
      </c>
      <c r="J11" s="6" t="str">
        <f t="shared" si="1"/>
        <v>Mid Cap</v>
      </c>
    </row>
    <row r="12">
      <c r="A12" s="2" t="s">
        <v>26</v>
      </c>
      <c r="B12" s="3" t="s">
        <v>11</v>
      </c>
      <c r="C12" s="4" t="s">
        <v>17</v>
      </c>
      <c r="D12" s="4">
        <v>33754.23</v>
      </c>
      <c r="E12" s="5">
        <v>4.45</v>
      </c>
      <c r="F12" s="5">
        <v>661.87</v>
      </c>
      <c r="G12" s="5">
        <v>-1.14</v>
      </c>
      <c r="H12" s="5">
        <v>-1.03</v>
      </c>
      <c r="I12" s="5">
        <v>251.62</v>
      </c>
      <c r="J12" s="6" t="str">
        <f t="shared" si="1"/>
        <v>Mid Cap</v>
      </c>
    </row>
    <row r="13">
      <c r="A13" s="2" t="s">
        <v>27</v>
      </c>
      <c r="B13" s="3" t="s">
        <v>11</v>
      </c>
      <c r="C13" s="4" t="s">
        <v>12</v>
      </c>
      <c r="D13" s="3">
        <v>47792.64</v>
      </c>
      <c r="E13" s="5">
        <v>5.0</v>
      </c>
      <c r="F13" s="5">
        <v>96.17</v>
      </c>
      <c r="G13" s="5">
        <v>5.24</v>
      </c>
      <c r="H13" s="5">
        <v>7.88</v>
      </c>
      <c r="I13" s="2">
        <v>457.8</v>
      </c>
      <c r="J13" s="6" t="str">
        <f t="shared" si="1"/>
        <v>Large Cap</v>
      </c>
    </row>
    <row r="14">
      <c r="A14" s="2" t="s">
        <v>28</v>
      </c>
      <c r="B14" s="3" t="s">
        <v>19</v>
      </c>
      <c r="C14" s="4" t="s">
        <v>12</v>
      </c>
      <c r="D14" s="3">
        <v>32928.92</v>
      </c>
      <c r="E14" s="5">
        <v>5.82</v>
      </c>
      <c r="F14" s="5">
        <v>31.23</v>
      </c>
      <c r="G14" s="5">
        <v>19.25</v>
      </c>
      <c r="H14" s="5">
        <v>24.36</v>
      </c>
      <c r="I14" s="5">
        <v>8.39</v>
      </c>
      <c r="J14" s="6" t="str">
        <f t="shared" si="1"/>
        <v>Mid Cap</v>
      </c>
    </row>
    <row r="15">
      <c r="A15" s="2" t="s">
        <v>29</v>
      </c>
      <c r="B15" s="3" t="s">
        <v>11</v>
      </c>
      <c r="C15" s="4" t="s">
        <v>17</v>
      </c>
      <c r="D15" s="4">
        <v>34077.43</v>
      </c>
      <c r="E15" s="5">
        <v>0.93</v>
      </c>
      <c r="F15" s="5">
        <v>6.23</v>
      </c>
      <c r="G15" s="5">
        <v>21.2</v>
      </c>
      <c r="H15" s="5">
        <v>22.01</v>
      </c>
      <c r="I15" s="5">
        <v>1.59</v>
      </c>
      <c r="J15" s="6" t="str">
        <f t="shared" si="1"/>
        <v>Mid Cap</v>
      </c>
    </row>
    <row r="16">
      <c r="A16" s="2" t="s">
        <v>30</v>
      </c>
      <c r="B16" s="3" t="s">
        <v>31</v>
      </c>
      <c r="C16" s="4" t="s">
        <v>12</v>
      </c>
      <c r="D16" s="4">
        <v>34456.15</v>
      </c>
      <c r="E16" s="5">
        <v>2.34</v>
      </c>
      <c r="F16" s="5">
        <v>28.83</v>
      </c>
      <c r="G16" s="5">
        <v>6.15</v>
      </c>
      <c r="H16" s="5">
        <v>8.91</v>
      </c>
      <c r="I16" s="5">
        <v>1.55</v>
      </c>
      <c r="J16" s="6" t="str">
        <f t="shared" si="1"/>
        <v>Mid Cap</v>
      </c>
    </row>
    <row r="17">
      <c r="A17" s="2" t="s">
        <v>32</v>
      </c>
      <c r="B17" s="3" t="s">
        <v>14</v>
      </c>
      <c r="C17" s="4" t="s">
        <v>12</v>
      </c>
      <c r="D17" s="3">
        <v>555.79</v>
      </c>
      <c r="E17" s="5">
        <v>1.45</v>
      </c>
      <c r="F17" s="5">
        <v>460.21</v>
      </c>
      <c r="G17" s="5">
        <v>0.06</v>
      </c>
      <c r="H17" s="5">
        <v>0.7</v>
      </c>
      <c r="I17" s="5">
        <v>338.98</v>
      </c>
      <c r="J17" s="6" t="str">
        <f t="shared" si="1"/>
        <v>Small Cap</v>
      </c>
    </row>
    <row r="18">
      <c r="A18" s="2" t="s">
        <v>33</v>
      </c>
      <c r="B18" s="3" t="s">
        <v>19</v>
      </c>
      <c r="C18" s="4" t="s">
        <v>15</v>
      </c>
      <c r="D18" s="3">
        <v>37630.27</v>
      </c>
      <c r="E18" s="5">
        <v>6.98</v>
      </c>
      <c r="F18" s="5">
        <v>19.01</v>
      </c>
      <c r="G18" s="5">
        <v>30.83</v>
      </c>
      <c r="H18" s="5">
        <v>39.74</v>
      </c>
      <c r="I18" s="2">
        <v>268.14</v>
      </c>
      <c r="J18" s="6" t="str">
        <f t="shared" si="1"/>
        <v>Large Cap</v>
      </c>
    </row>
    <row r="19">
      <c r="A19" s="2" t="s">
        <v>34</v>
      </c>
      <c r="B19" s="3" t="s">
        <v>11</v>
      </c>
      <c r="C19" s="4" t="s">
        <v>12</v>
      </c>
      <c r="D19" s="3">
        <v>54670.49</v>
      </c>
      <c r="E19" s="5">
        <v>3.99</v>
      </c>
      <c r="F19" s="5">
        <v>38.97</v>
      </c>
      <c r="G19" s="5">
        <v>7.45</v>
      </c>
      <c r="H19" s="5">
        <v>10.0</v>
      </c>
      <c r="I19" s="2">
        <v>374.15</v>
      </c>
      <c r="J19" s="6" t="str">
        <f t="shared" si="1"/>
        <v>Large Cap</v>
      </c>
    </row>
    <row r="20">
      <c r="A20" s="2" t="s">
        <v>35</v>
      </c>
      <c r="B20" s="3" t="s">
        <v>14</v>
      </c>
      <c r="C20" s="4" t="s">
        <v>15</v>
      </c>
      <c r="D20" s="4">
        <v>34733.39</v>
      </c>
      <c r="E20" s="5">
        <v>9.15</v>
      </c>
      <c r="F20" s="5">
        <v>82.04</v>
      </c>
      <c r="G20" s="5">
        <v>11.25</v>
      </c>
      <c r="H20" s="5">
        <v>13.35</v>
      </c>
      <c r="I20" s="5">
        <v>3.0</v>
      </c>
      <c r="J20" s="6" t="str">
        <f t="shared" si="1"/>
        <v>Mid Cap</v>
      </c>
    </row>
    <row r="21">
      <c r="A21" s="2" t="s">
        <v>36</v>
      </c>
      <c r="B21" s="3" t="s">
        <v>14</v>
      </c>
      <c r="C21" s="4" t="s">
        <v>17</v>
      </c>
      <c r="D21" s="4">
        <v>35351.3</v>
      </c>
      <c r="E21" s="5">
        <v>1.7</v>
      </c>
      <c r="F21" s="5">
        <v>13.91</v>
      </c>
      <c r="G21" s="5">
        <v>11.88</v>
      </c>
      <c r="H21" s="5">
        <v>10.01</v>
      </c>
      <c r="I21" s="2">
        <v>702.22</v>
      </c>
      <c r="J21" s="6" t="str">
        <f t="shared" si="1"/>
        <v>Large Cap</v>
      </c>
    </row>
    <row r="22">
      <c r="B22" s="7"/>
      <c r="C22" s="7"/>
      <c r="D22" s="7"/>
    </row>
    <row r="23">
      <c r="B23" s="7"/>
      <c r="C23" s="8"/>
      <c r="D23" s="8"/>
    </row>
    <row r="24">
      <c r="A24" s="9"/>
      <c r="B24" s="7"/>
      <c r="C24" s="7"/>
      <c r="D24" s="7"/>
    </row>
    <row r="25">
      <c r="B25" s="7"/>
      <c r="C25" s="7"/>
      <c r="D25" s="7"/>
    </row>
    <row r="26">
      <c r="A26" s="9"/>
    </row>
    <row r="28">
      <c r="B28" s="7"/>
      <c r="C28" s="7"/>
      <c r="D28" s="7"/>
    </row>
    <row r="29">
      <c r="A29" s="9"/>
      <c r="B29" s="7"/>
      <c r="C29" s="7"/>
      <c r="D29" s="7"/>
      <c r="G29" s="7"/>
    </row>
    <row r="30">
      <c r="B30" s="7"/>
      <c r="C30" s="7"/>
      <c r="D30" s="7"/>
    </row>
    <row r="31">
      <c r="B31" s="7"/>
      <c r="C31" s="7"/>
      <c r="D31" s="7"/>
    </row>
    <row r="32">
      <c r="A32" s="9"/>
      <c r="B32" s="7"/>
      <c r="C32" s="7"/>
      <c r="D32" s="7"/>
    </row>
    <row r="33">
      <c r="B33" s="7"/>
      <c r="C33" s="7"/>
      <c r="D33" s="7"/>
    </row>
    <row r="34">
      <c r="B34" s="7"/>
      <c r="C34" s="7"/>
      <c r="D34" s="7"/>
    </row>
    <row r="35">
      <c r="A35" s="9"/>
      <c r="B35" s="7"/>
      <c r="C35" s="7"/>
      <c r="D35" s="7"/>
    </row>
    <row r="36">
      <c r="B36" s="7"/>
      <c r="C36" s="7"/>
      <c r="D36" s="7"/>
    </row>
    <row r="85">
      <c r="E8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7" max="7" width="18.88"/>
  </cols>
  <sheetData>
    <row r="1">
      <c r="A1" s="10" t="s">
        <v>37</v>
      </c>
      <c r="B1" s="7"/>
    </row>
    <row r="2">
      <c r="A2" s="11" t="s">
        <v>38</v>
      </c>
      <c r="B2" s="12">
        <f>COUNTIFS('Stock Data'!F2:F21,"&lt;30",'Stock Data'!E2:E21,"&gt;5")</f>
        <v>1</v>
      </c>
    </row>
    <row r="3">
      <c r="A3" s="13"/>
      <c r="B3" s="13"/>
    </row>
    <row r="4">
      <c r="A4" s="14" t="s">
        <v>39</v>
      </c>
      <c r="B4" s="15"/>
    </row>
    <row r="5">
      <c r="A5" s="11" t="s">
        <v>38</v>
      </c>
      <c r="B5" s="16">
        <f>SUMIFS('Stock Data'!D2:D21,'Stock Data'!J2:J21,"Small Cap",'Stock Data'!H2:H21,"&gt;30",'Stock Data'!C2:C21,"Mumbai")</f>
        <v>8636.75</v>
      </c>
      <c r="E5" s="7"/>
    </row>
    <row r="6">
      <c r="A6" s="13"/>
      <c r="B6" s="15"/>
    </row>
    <row r="7">
      <c r="A7" s="14" t="s">
        <v>40</v>
      </c>
      <c r="B7" s="15"/>
    </row>
    <row r="8">
      <c r="A8" s="11" t="s">
        <v>38</v>
      </c>
      <c r="B8" s="16">
        <f>AVERAGEIFS('Stock Data'!G2:G21,'Stock Data'!J2:J21,"Mid Cap",'Stock Data'!C2:C21,"Delhi")</f>
        <v>15.465</v>
      </c>
    </row>
    <row r="9">
      <c r="B9" s="7"/>
    </row>
    <row r="10">
      <c r="A10" s="10" t="s">
        <v>41</v>
      </c>
      <c r="B10" s="7"/>
    </row>
    <row r="11">
      <c r="A11" s="9" t="s">
        <v>38</v>
      </c>
      <c r="B11" s="16">
        <f>COUNTIFS('Stock Data'!J2:J21,"Large Cap",'Stock Data'!G2:G21,"&gt;10")</f>
        <v>3</v>
      </c>
    </row>
    <row r="12">
      <c r="B12" s="7"/>
    </row>
    <row r="13">
      <c r="A13" s="10" t="s">
        <v>42</v>
      </c>
    </row>
    <row r="14">
      <c r="A14" s="9" t="s">
        <v>38</v>
      </c>
      <c r="B14" s="16">
        <f>COUNTIFS('Stock Data'!D2:D21,"&gt;10000",'Stock Data'!G2:G21,"&gt;10")</f>
        <v>10</v>
      </c>
    </row>
    <row r="16">
      <c r="A16" s="10" t="s">
        <v>43</v>
      </c>
    </row>
    <row r="17">
      <c r="A17" s="10" t="s">
        <v>44</v>
      </c>
    </row>
    <row r="18">
      <c r="A18" s="9" t="s">
        <v>38</v>
      </c>
      <c r="B18" s="16">
        <f>COUNTIFS('Stock Data'!J2:J21,"Large Cap",'Stock Data'!C2:C21,"Mumbai",'Stock Data'!B2:B21,"Technology")</f>
        <v>1</v>
      </c>
    </row>
    <row r="20">
      <c r="A20" s="10" t="s">
        <v>45</v>
      </c>
    </row>
    <row r="21">
      <c r="A21" s="9" t="s">
        <v>38</v>
      </c>
      <c r="B21" s="16">
        <f>SUMIFS('Stock Data'!D2:D21,'Stock Data'!J2:J21,"Small Cap",'Stock Data'!C2:C21,"Mumbai",'Stock Data'!G2:G21,"&gt;20")</f>
        <v>12350.72</v>
      </c>
    </row>
    <row r="23">
      <c r="A23" s="10" t="s">
        <v>46</v>
      </c>
    </row>
    <row r="24">
      <c r="A24" s="9" t="s">
        <v>38</v>
      </c>
      <c r="B24" s="16">
        <f>AVERAGEIFS('Stock Data'!G2:G21,'Stock Data'!J2:J21,"Mid Cap",'Stock Data'!I2:I21,"&lt;100",'Stock Data'!I2:I21,"&gt;10")</f>
        <v>11.27</v>
      </c>
    </row>
    <row r="26">
      <c r="A26" s="10" t="s">
        <v>47</v>
      </c>
    </row>
    <row r="27">
      <c r="A27" s="9" t="s">
        <v>38</v>
      </c>
      <c r="B27" s="16">
        <f>COUNTIFS('Stock Data'!C2:C21,"Delhi",'Stock Data'!D2:D21,"&gt;20000",'Stock Data'!H2:H21,"&gt;10")</f>
        <v>3</v>
      </c>
    </row>
    <row r="29">
      <c r="A29" s="10" t="s">
        <v>48</v>
      </c>
    </row>
    <row r="30">
      <c r="A30" s="9" t="s">
        <v>38</v>
      </c>
      <c r="B30" s="16">
        <f>AVERAGEIFS('Stock Data'!G2:G21,'Stock Data'!J2:J21,"Mid Cap",'Stock Data'!D2:D21,"&gt;15000")</f>
        <v>12.34222222</v>
      </c>
    </row>
    <row r="32">
      <c r="A32" s="10" t="s">
        <v>49</v>
      </c>
    </row>
    <row r="33">
      <c r="A33" s="9" t="s">
        <v>38</v>
      </c>
      <c r="B33" s="16">
        <f>AVERAGEIFS('Stock Data'!D2:D21,'Stock Data'!J2:J21,"Large Cap",'Stock Data'!B2:B21,"Finance")</f>
        <v>59010.54333</v>
      </c>
    </row>
    <row r="35">
      <c r="A35" s="10" t="s">
        <v>50</v>
      </c>
    </row>
    <row r="36">
      <c r="A36" s="9" t="s">
        <v>51</v>
      </c>
      <c r="B36" s="16" t="str">
        <f>IFERROR(__xludf.DUMMYFUNCTION("FILTER('Stock Data'!A2:A21,'Stock Data'!J2:J21=""Large Cap"",'Stock Data'!I2:I21&gt;500)"),"Quantum Banks")</f>
        <v>Quantum Banks</v>
      </c>
    </row>
    <row r="37">
      <c r="B37" s="6" t="str">
        <f>IFERROR(__xludf.DUMMYFUNCTION("""COMPUTED_VALUE"""),"Infinite Insights")</f>
        <v>Infinite Insights</v>
      </c>
    </row>
    <row r="56">
      <c r="C56"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8.75"/>
  </cols>
  <sheetData>
    <row r="1">
      <c r="A1" s="17" t="s">
        <v>52</v>
      </c>
      <c r="B1" s="18"/>
      <c r="C1" s="18"/>
      <c r="D1" s="18"/>
      <c r="E1" s="18"/>
    </row>
    <row r="2">
      <c r="A2" s="17" t="s">
        <v>53</v>
      </c>
      <c r="B2" s="18"/>
      <c r="C2" s="18"/>
      <c r="D2" s="18"/>
      <c r="E2" s="18"/>
    </row>
    <row r="3">
      <c r="A3" s="19" t="s">
        <v>38</v>
      </c>
      <c r="B3" s="20"/>
      <c r="C3" s="20"/>
      <c r="D3" s="20"/>
      <c r="E3" s="18"/>
    </row>
    <row r="4">
      <c r="A4" s="21" t="s">
        <v>0</v>
      </c>
      <c r="B4" s="22" t="s">
        <v>54</v>
      </c>
      <c r="C4" s="22" t="s">
        <v>4</v>
      </c>
      <c r="D4" s="22" t="s">
        <v>55</v>
      </c>
      <c r="E4" s="18"/>
    </row>
    <row r="5">
      <c r="A5" s="23" t="s">
        <v>22</v>
      </c>
      <c r="B5" s="24">
        <f>VLOOKUP($A5,'Stock Data'!$A$2:$I$21,9,FALSE)</f>
        <v>1.61</v>
      </c>
      <c r="C5" s="24">
        <f>VLOOKUP($A5,'Stock Data'!$A$2:$I$21,5,FALSE)</f>
        <v>4.6</v>
      </c>
      <c r="D5" s="25" t="str">
        <f t="shared" ref="D5:D7" si="1">IF(B5&gt;=100,IF(C5&gt;3,"Overpriced","Underpriced"),"Penny Stock")</f>
        <v>Penny Stock</v>
      </c>
      <c r="E5" s="18"/>
    </row>
    <row r="6">
      <c r="A6" s="23" t="s">
        <v>32</v>
      </c>
      <c r="B6" s="24">
        <f>VLOOKUP($A6,'Stock Data'!$A$2:$I$21,9,FALSE)</f>
        <v>338.98</v>
      </c>
      <c r="C6" s="24">
        <f>VLOOKUP($A6,'Stock Data'!$A$2:$I$21,5,FALSE)</f>
        <v>1.45</v>
      </c>
      <c r="D6" s="25" t="str">
        <f t="shared" si="1"/>
        <v>Underpriced</v>
      </c>
      <c r="E6" s="18"/>
    </row>
    <row r="7">
      <c r="A7" s="26" t="s">
        <v>26</v>
      </c>
      <c r="B7" s="24">
        <f>VLOOKUP($A7,'Stock Data'!$A$2:$I$21,9,FALSE)</f>
        <v>251.62</v>
      </c>
      <c r="C7" s="24">
        <f>VLOOKUP($A7,'Stock Data'!$A$2:$I$21,5,FALSE)</f>
        <v>4.45</v>
      </c>
      <c r="D7" s="25" t="str">
        <f t="shared" si="1"/>
        <v>Overpriced</v>
      </c>
      <c r="E7" s="18"/>
    </row>
    <row r="8">
      <c r="A8" s="27"/>
      <c r="B8" s="18"/>
      <c r="C8" s="18"/>
      <c r="D8" s="18"/>
      <c r="E8" s="18"/>
    </row>
    <row r="9">
      <c r="A9" s="28" t="s">
        <v>56</v>
      </c>
      <c r="B9" s="18"/>
      <c r="C9" s="18"/>
      <c r="D9" s="18"/>
      <c r="E9" s="18"/>
    </row>
    <row r="10">
      <c r="A10" s="29" t="s">
        <v>57</v>
      </c>
      <c r="B10" s="18"/>
      <c r="C10" s="18"/>
      <c r="D10" s="18"/>
      <c r="E10" s="18"/>
    </row>
    <row r="11">
      <c r="A11" s="30" t="s">
        <v>38</v>
      </c>
      <c r="B11" s="31" t="str">
        <f>IF('Stock Data'!F2&gt;20,"Not Recommended",IF('Stock Data'!G2&gt;15,"Recommended","Not Recommended"))</f>
        <v>Not Recommended</v>
      </c>
      <c r="C11" s="27"/>
      <c r="D11" s="27"/>
      <c r="E11" s="18"/>
    </row>
    <row r="12">
      <c r="A12" s="18"/>
      <c r="B12" s="18"/>
      <c r="C12" s="18"/>
      <c r="D12" s="18"/>
      <c r="E12" s="18"/>
    </row>
    <row r="13">
      <c r="A13" s="32" t="s">
        <v>58</v>
      </c>
      <c r="B13" s="18"/>
      <c r="C13" s="18"/>
      <c r="D13" s="18"/>
      <c r="E13" s="18"/>
    </row>
    <row r="14">
      <c r="A14" s="33" t="s">
        <v>38</v>
      </c>
      <c r="B14" s="34" t="str">
        <f>IF('Stock Data'!B7="FMCG",IF('Stock Data'!E7&lt;3,"Yes","No"),"No")</f>
        <v>Yes</v>
      </c>
      <c r="C14" s="18"/>
      <c r="D14" s="18"/>
      <c r="E14" s="18"/>
    </row>
    <row r="15">
      <c r="A15" s="10"/>
    </row>
    <row r="16">
      <c r="A16" s="10" t="s">
        <v>59</v>
      </c>
    </row>
    <row r="17">
      <c r="A17" s="9" t="s">
        <v>38</v>
      </c>
    </row>
    <row r="18">
      <c r="A18" s="35" t="s">
        <v>0</v>
      </c>
      <c r="B18" s="35" t="s">
        <v>60</v>
      </c>
      <c r="C18" s="35" t="s">
        <v>1</v>
      </c>
      <c r="D18" s="35" t="s">
        <v>5</v>
      </c>
      <c r="E18" s="35" t="s">
        <v>61</v>
      </c>
    </row>
    <row r="19">
      <c r="A19" s="36" t="s">
        <v>20</v>
      </c>
      <c r="B19" s="37" t="str">
        <f>vlookup(A19,'Stock Data'!$A$2:$J$21,10,false)</f>
        <v>Mid Cap</v>
      </c>
      <c r="C19" s="38" t="str">
        <f>VLOOKUP($A19,'Stock Data'!$A$2:$B$21,2,FALSE)</f>
        <v>Finance</v>
      </c>
      <c r="D19" s="37">
        <f>VLOOKUP($A19,'Stock Data'!$A$2:$F$21,6,FALSE)</f>
        <v>44.12</v>
      </c>
      <c r="E19" s="37" t="str">
        <f t="shared" ref="E19:E21" si="2">IF(B19="Large Cap",IF(C19="Finance",IF(D19&lt;20,"Yes","No"),"No"),"No")</f>
        <v>No</v>
      </c>
    </row>
    <row r="20">
      <c r="A20" s="36" t="s">
        <v>21</v>
      </c>
      <c r="B20" s="37" t="str">
        <f>vlookup(A20,'Stock Data'!$A$2:$J$21,10,false)</f>
        <v>Mid Cap</v>
      </c>
      <c r="C20" s="38" t="str">
        <f>VLOOKUP($A20,'Stock Data'!$A$2:$B$21,2,FALSE)</f>
        <v>FMCG</v>
      </c>
      <c r="D20" s="37">
        <f>VLOOKUP($A20,'Stock Data'!$A$2:$F$21,6,FALSE)</f>
        <v>9.55</v>
      </c>
      <c r="E20" s="37" t="str">
        <f t="shared" si="2"/>
        <v>No</v>
      </c>
    </row>
    <row r="21">
      <c r="A21" s="36" t="s">
        <v>28</v>
      </c>
      <c r="B21" s="37" t="str">
        <f>vlookup(A21,'Stock Data'!$A$2:$J$21,10,false)</f>
        <v>Mid Cap</v>
      </c>
      <c r="C21" s="38" t="str">
        <f>VLOOKUP($A21,'Stock Data'!$A$2:$B$21,2,FALSE)</f>
        <v>Finance</v>
      </c>
      <c r="D21" s="37">
        <f>VLOOKUP($A21,'Stock Data'!$A$2:$F$21,6,FALSE)</f>
        <v>31.23</v>
      </c>
      <c r="E21" s="37" t="str">
        <f t="shared" si="2"/>
        <v>No</v>
      </c>
    </row>
    <row r="22">
      <c r="A22" s="10"/>
    </row>
    <row r="23">
      <c r="A23" s="10" t="s">
        <v>62</v>
      </c>
    </row>
    <row r="24">
      <c r="A24" s="39" t="s">
        <v>63</v>
      </c>
    </row>
    <row r="25">
      <c r="A25" s="10" t="s">
        <v>64</v>
      </c>
    </row>
    <row r="26">
      <c r="A26" s="35" t="s">
        <v>0</v>
      </c>
      <c r="B26" s="35" t="s">
        <v>65</v>
      </c>
      <c r="C26" s="35" t="s">
        <v>6</v>
      </c>
      <c r="D26" s="35" t="s">
        <v>66</v>
      </c>
      <c r="E26" s="11"/>
    </row>
    <row r="27">
      <c r="A27" s="37" t="s">
        <v>35</v>
      </c>
      <c r="B27" s="37">
        <f>VLOOKUP($A27,'Stock Data'!$A$2:$I$21,9,FALSE)</f>
        <v>3</v>
      </c>
      <c r="C27" s="37">
        <f>VLOOKUP($A27,'Stock Data'!$A$2:$I$21,7,FALSE)</f>
        <v>11.25</v>
      </c>
      <c r="D27" s="37" t="str">
        <f t="shared" ref="D27:D30" si="3">IF(B27&lt;200,"Buy",IF(C27&gt;10,"Hold","Sell"))</f>
        <v>Buy</v>
      </c>
      <c r="E27" s="40"/>
    </row>
    <row r="28">
      <c r="A28" s="37" t="s">
        <v>26</v>
      </c>
      <c r="B28" s="37">
        <f>VLOOKUP($A28,'Stock Data'!$A$2:$I$21,9,FALSE)</f>
        <v>251.62</v>
      </c>
      <c r="C28" s="37">
        <f>VLOOKUP($A28,'Stock Data'!$A$2:$I$21,7,FALSE)</f>
        <v>-1.14</v>
      </c>
      <c r="D28" s="37" t="str">
        <f t="shared" si="3"/>
        <v>Sell</v>
      </c>
    </row>
    <row r="29">
      <c r="A29" s="36" t="s">
        <v>27</v>
      </c>
      <c r="B29" s="37">
        <f>VLOOKUP($A29,'Stock Data'!$A$2:$I$21,9,FALSE)</f>
        <v>457.8</v>
      </c>
      <c r="C29" s="37">
        <f>VLOOKUP($A29,'Stock Data'!$A$2:$I$21,7,FALSE)</f>
        <v>5.24</v>
      </c>
      <c r="D29" s="37" t="str">
        <f t="shared" si="3"/>
        <v>Sell</v>
      </c>
    </row>
    <row r="30">
      <c r="A30" s="36" t="s">
        <v>23</v>
      </c>
      <c r="B30" s="37">
        <f>VLOOKUP($A30,'Stock Data'!$A$2:$I$21,9,FALSE)</f>
        <v>436.49</v>
      </c>
      <c r="C30" s="37">
        <f>VLOOKUP($A30,'Stock Data'!$A$2:$I$21,7,FALSE)</f>
        <v>14.59</v>
      </c>
      <c r="D30" s="37" t="str">
        <f t="shared" si="3"/>
        <v>Hold</v>
      </c>
    </row>
    <row r="32">
      <c r="A32" s="10" t="s">
        <v>67</v>
      </c>
    </row>
    <row r="33">
      <c r="A33" s="10" t="s">
        <v>68</v>
      </c>
    </row>
    <row r="34">
      <c r="A34" s="10" t="s">
        <v>69</v>
      </c>
    </row>
    <row r="35">
      <c r="A35" s="9" t="s">
        <v>38</v>
      </c>
      <c r="B35" s="37" t="str">
        <f>IF('Stock Data'!G6&gt;11,"Ideal",IF('Stock Data'!F6&lt;5,"Ideal","Adverse"))</f>
        <v>Ideal</v>
      </c>
    </row>
    <row r="37">
      <c r="A37" s="10" t="s">
        <v>70</v>
      </c>
    </row>
    <row r="38">
      <c r="A38" s="10" t="s">
        <v>71</v>
      </c>
    </row>
    <row r="39">
      <c r="A39" s="10" t="s">
        <v>72</v>
      </c>
    </row>
    <row r="40">
      <c r="A40" s="10" t="s">
        <v>73</v>
      </c>
    </row>
    <row r="41">
      <c r="A41" s="35" t="s">
        <v>0</v>
      </c>
      <c r="B41" s="35" t="s">
        <v>1</v>
      </c>
      <c r="C41" s="35" t="s">
        <v>74</v>
      </c>
      <c r="D41" s="35" t="s">
        <v>66</v>
      </c>
    </row>
    <row r="42">
      <c r="A42" s="37" t="s">
        <v>18</v>
      </c>
      <c r="B42" s="38" t="str">
        <f>VLOOKUP($A42,'Stock Data'!$A$2:$B$21,2,FALSE)</f>
        <v>Finance</v>
      </c>
      <c r="C42" s="38">
        <f>VLOOKUP($A42,'Stock Data'!$A$2:$F$21,6,FALSE)</f>
        <v>14144.07</v>
      </c>
      <c r="D42" s="37" t="str">
        <f t="shared" ref="D42:D44" si="4">IF(B42="Technology",IF(C42&gt;10,"No","Yes"),IF(B42="Finance",IF(C42&gt;15,"No","Yes"),IF(B42="FMCG",IF(C42&gt;5,"No","Yes"),"Sector Not found")))</f>
        <v>No</v>
      </c>
    </row>
    <row r="43">
      <c r="A43" s="37" t="s">
        <v>34</v>
      </c>
      <c r="B43" s="38" t="str">
        <f>VLOOKUP($A43,'Stock Data'!$A$2:$B$21,2,FALSE)</f>
        <v>FMCG</v>
      </c>
      <c r="C43" s="37">
        <f>VLOOKUP($A43,'Stock Data'!$A$2:$F$21,6,FALSE)</f>
        <v>38.97</v>
      </c>
      <c r="D43" s="37" t="str">
        <f t="shared" si="4"/>
        <v>No</v>
      </c>
    </row>
    <row r="44">
      <c r="A44" s="37" t="s">
        <v>35</v>
      </c>
      <c r="B44" s="38" t="str">
        <f>VLOOKUP($A44,'Stock Data'!$A$2:$B$21,2,FALSE)</f>
        <v>Technology</v>
      </c>
      <c r="C44" s="37">
        <f>VLOOKUP($A44,'Stock Data'!$A$2:$F$21,6,FALSE)</f>
        <v>82.04</v>
      </c>
      <c r="D44" s="37" t="str">
        <f t="shared" si="4"/>
        <v>No</v>
      </c>
    </row>
    <row r="46">
      <c r="A46" s="28" t="s">
        <v>75</v>
      </c>
      <c r="B46" s="18"/>
    </row>
    <row r="47">
      <c r="A47" s="29" t="s">
        <v>76</v>
      </c>
      <c r="B47" s="20"/>
    </row>
    <row r="48">
      <c r="A48" s="41" t="s">
        <v>38</v>
      </c>
      <c r="B48" s="25" t="str">
        <f>IF('Stock Data'!E16&lt;=20,IF('Stock Data'!H16&gt;20,"Recommended","Not Recommended"),"Not Recommended")</f>
        <v>Not Recommended</v>
      </c>
    </row>
    <row r="49">
      <c r="A49" s="18"/>
      <c r="B49"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44.5"/>
  </cols>
  <sheetData>
    <row r="1">
      <c r="A1" s="10" t="s">
        <v>77</v>
      </c>
    </row>
    <row r="2">
      <c r="A2" s="39" t="s">
        <v>78</v>
      </c>
    </row>
    <row r="3">
      <c r="A3" s="35" t="s">
        <v>0</v>
      </c>
      <c r="B3" s="35" t="s">
        <v>79</v>
      </c>
    </row>
    <row r="4">
      <c r="A4" s="37" t="s">
        <v>23</v>
      </c>
      <c r="B4" s="37" t="s">
        <v>80</v>
      </c>
    </row>
    <row r="5">
      <c r="A5" s="37" t="s">
        <v>35</v>
      </c>
      <c r="B5" s="37" t="str">
        <f>A5&amp;" "&amp;IF('Stock Data'!G20&gt;20,"is highly profitable company","is not a profitable company")</f>
        <v>Interstellar Innovators is not a profitable company</v>
      </c>
    </row>
    <row r="6">
      <c r="A6" s="37" t="s">
        <v>25</v>
      </c>
      <c r="B6" s="37" t="str">
        <f>A6&amp;" "&amp;IF('Stock Data'!G11&gt;20,"is highly profitable company","is not a profitable company")</f>
        <v>Aetherial Investments is not a profitable company</v>
      </c>
    </row>
    <row r="7">
      <c r="A7" s="37" t="s">
        <v>30</v>
      </c>
      <c r="B7" s="37" t="str">
        <f>A7&amp;" "&amp;IF('Stock Data'!G16&gt;20,"is highly profitable company","is not a profitable company")</f>
        <v>Solstice Industries is not a profitable company</v>
      </c>
    </row>
    <row r="9">
      <c r="A9" s="10" t="s">
        <v>81</v>
      </c>
    </row>
    <row r="10">
      <c r="A10" s="9" t="s">
        <v>38</v>
      </c>
      <c r="B10" s="38">
        <f>VLOOKUP(MAX('Stock Data'!D2:D21),'Stock Data'!D2:F21,3,FALSE)</f>
        <v>14144.07</v>
      </c>
    </row>
    <row r="12">
      <c r="A12" s="10" t="s">
        <v>82</v>
      </c>
    </row>
    <row r="13">
      <c r="A13" s="9" t="s">
        <v>38</v>
      </c>
      <c r="B13" s="37" t="str">
        <f>IFERROR(__xludf.DUMMYFUNCTION("FILTER('Stock Data'!A2:A21,'Stock Data'!F2:F21=(MINIFS('Stock Data'!F2:F21,'Stock Data'!J2:J21,""Large Cap"")))"),"Infinite Insights")</f>
        <v>Infinite Insights</v>
      </c>
    </row>
    <row r="14">
      <c r="A14" s="10"/>
    </row>
    <row r="15">
      <c r="A15" s="10" t="s">
        <v>83</v>
      </c>
    </row>
    <row r="16">
      <c r="A16" s="10" t="s">
        <v>84</v>
      </c>
      <c r="B16" s="42" t="s">
        <v>12</v>
      </c>
    </row>
    <row r="17">
      <c r="A17" s="10" t="s">
        <v>85</v>
      </c>
      <c r="B17" s="42">
        <v>11.0</v>
      </c>
    </row>
    <row r="18">
      <c r="A18" s="10" t="s">
        <v>86</v>
      </c>
    </row>
    <row r="19">
      <c r="A19" s="35" t="s">
        <v>0</v>
      </c>
      <c r="B19" s="35" t="s">
        <v>66</v>
      </c>
    </row>
    <row r="20">
      <c r="A20" s="43" t="s">
        <v>21</v>
      </c>
      <c r="B20" s="37" t="str">
        <f>IF(VLOOKUP($A20,'Stock Data'!$A$2:$J$21,3,FALSE)="Bangalore",IF(VLOOKUP($A20,'Stock Data'!$A$2:$J$21)&gt;11,"Yes","No"),"No")</f>
        <v>No</v>
      </c>
    </row>
    <row r="21">
      <c r="A21" s="43" t="s">
        <v>24</v>
      </c>
      <c r="B21" s="37" t="str">
        <f>IF(VLOOKUP($A21,'Stock Data'!$A$2:$J$21,3,FALSE)="Bangalore",IF(VLOOKUP($A21,'Stock Data'!$A$2:$J$21)&gt;11,"Yes","No"),"No")</f>
        <v>No</v>
      </c>
    </row>
    <row r="22">
      <c r="A22" s="43" t="s">
        <v>35</v>
      </c>
      <c r="B22" s="37" t="str">
        <f>IF(VLOOKUP($A22,'Stock Data'!$A$2:$J$21,3,FALSE)="Bangalore",IF(VLOOKUP($A22,'Stock Data'!$A$2:$J$21)&gt;11,"Yes","No"),"No")</f>
        <v>No</v>
      </c>
    </row>
    <row r="23">
      <c r="A23" s="10"/>
    </row>
    <row r="24">
      <c r="A24" s="10" t="s">
        <v>87</v>
      </c>
    </row>
    <row r="25">
      <c r="A25" s="9" t="s">
        <v>38</v>
      </c>
      <c r="B25" s="37" t="str">
        <f>IFERROR(__xludf.DUMMYFUNCTION("FILTER('Stock Data'!A2:A21,'Stock Data'!H2:H21=MIN('Stock Data'!H2:H21))"),"Nexus Ltd.")</f>
        <v>Nexus Ltd.</v>
      </c>
    </row>
    <row r="27">
      <c r="A27" s="10" t="s">
        <v>88</v>
      </c>
    </row>
    <row r="28">
      <c r="A28" s="9" t="s">
        <v>38</v>
      </c>
      <c r="B28" s="37" t="str">
        <f>IFERROR(__xludf.DUMMYFUNCTION("FILTER('Stock Data'!A2:A21,'Stock Data'!G2:G21=MAXIFS('Stock Data'!G2:G21,'Stock Data'!B2:B21,""Technology"",'Stock Data'!C2:C21,""Bangalore""))"),"Titan Innovations")</f>
        <v>Titan Innovations</v>
      </c>
    </row>
    <row r="30">
      <c r="A30" s="10" t="s">
        <v>89</v>
      </c>
    </row>
    <row r="31">
      <c r="A31" s="9" t="s">
        <v>38</v>
      </c>
      <c r="B31" s="37" t="str">
        <f>IFERROR(__xludf.DUMMYFUNCTION("FILTER('Stock Data'!A2:A21,'Stock Data'!J2:J21=""Mid Cap"",'Stock Data'!D2:D21=MAXIFS('Stock Data'!D2:D21,'Stock Data'!G2:G21,MIN('Stock Data'!G2:G21)))"),"Nexus Ltd.")</f>
        <v>Nexus Ltd.</v>
      </c>
    </row>
    <row r="33">
      <c r="A33" s="10" t="s">
        <v>90</v>
      </c>
    </row>
    <row r="34">
      <c r="A34" s="39" t="s">
        <v>78</v>
      </c>
    </row>
    <row r="35">
      <c r="A35" s="35" t="s">
        <v>0</v>
      </c>
      <c r="B35" s="35" t="s">
        <v>79</v>
      </c>
    </row>
    <row r="36">
      <c r="A36" s="37" t="s">
        <v>20</v>
      </c>
      <c r="B36" s="37" t="s">
        <v>91</v>
      </c>
    </row>
    <row r="37">
      <c r="A37" s="37" t="s">
        <v>29</v>
      </c>
      <c r="B37" s="37" t="str">
        <f>A37&amp;" "&amp; if(VLOOKUP($A37,'Stock Data'!$A$2:$C$21,3,FALSE)="Delhi"," is a Delhi based company",IF(VLOOKUP($A37,'Stock Data'!$A$2:$C$21,3,FALSE)="Bangalore"," is a Bangalore based company",IF(VLOOKUP($A37,'Stock Data'!A2:C21,3,FALSE)="Mumbai", " is a Mumbai based company")))</f>
        <v>ZoomFoods  is a Mumbai based company</v>
      </c>
    </row>
    <row r="38">
      <c r="A38" s="37" t="s">
        <v>18</v>
      </c>
      <c r="B38" s="37" t="str">
        <f>A38&amp;" "&amp; if(VLOOKUP($A38,'Stock Data'!$A$2:$C$21,3,FALSE)="Delhi"," is a Delhi based company",IF(VLOOKUP($A38,'Stock Data'!$A$2:$C$21,3,FALSE)="Bangalore"," is a Bangalore based company",IF(VLOOKUP($A38,'Stock Data'!A3:C22,3,FALSE)="Mumbai", " is a Mumbai based company")))</f>
        <v>Quantum Banks  is a Delhi based company</v>
      </c>
    </row>
    <row r="39">
      <c r="A39" s="37" t="s">
        <v>13</v>
      </c>
      <c r="B39" s="37" t="str">
        <f>A39&amp;" "&amp; if(VLOOKUP($A39,'Stock Data'!$A$2:$C$21,3,FALSE)="Delhi"," is a Delhi based company",IF(VLOOKUP($A39,'Stock Data'!$A$2:$C$21,3,FALSE)="Bangalore"," is a Bangalore based company",IF(VLOOKUP($A39,'Stock Data'!A4:C23,3,FALSE)="Mumbai", " is a Mumbai based company")))</f>
        <v>Stellar Dynamics  is a Delhi based company</v>
      </c>
    </row>
    <row r="41">
      <c r="A41" s="10" t="s">
        <v>92</v>
      </c>
    </row>
    <row r="42">
      <c r="A42" s="10" t="s">
        <v>93</v>
      </c>
    </row>
    <row r="43">
      <c r="A43" s="35" t="s">
        <v>0</v>
      </c>
      <c r="B43" s="35" t="s">
        <v>6</v>
      </c>
      <c r="C43" s="35" t="s">
        <v>66</v>
      </c>
    </row>
    <row r="44">
      <c r="A44" s="37" t="s">
        <v>28</v>
      </c>
      <c r="B44" s="37">
        <f>VLOOKUP($A44,'Stock Data'!$A$2:$G$21,7,FALSE)</f>
        <v>19.25</v>
      </c>
      <c r="C44" s="37" t="str">
        <f t="shared" ref="C44:C46" si="1">IF(B44=MAX(B$44:B$46),"Select","Leave")</f>
        <v>Select</v>
      </c>
    </row>
    <row r="45">
      <c r="A45" s="37" t="s">
        <v>32</v>
      </c>
      <c r="B45" s="37">
        <f>VLOOKUP($A45,'Stock Data'!$A$2:$G$21,7,FALSE)</f>
        <v>0.06</v>
      </c>
      <c r="C45" s="37" t="str">
        <f t="shared" si="1"/>
        <v>Leave</v>
      </c>
    </row>
    <row r="46">
      <c r="A46" s="37" t="s">
        <v>13</v>
      </c>
      <c r="B46" s="37">
        <f>VLOOKUP($A46,'Stock Data'!$A$2:$G$21,7,FALSE)</f>
        <v>9.74</v>
      </c>
      <c r="C46" s="37" t="str">
        <f t="shared" si="1"/>
        <v>Leave</v>
      </c>
    </row>
    <row r="48">
      <c r="A48" s="10" t="s">
        <v>94</v>
      </c>
    </row>
    <row r="49">
      <c r="A49" s="9" t="s">
        <v>38</v>
      </c>
      <c r="B49" s="37" t="str">
        <f>IFERROR(__xludf.DUMMYFUNCTION("FILTER('Stock Data'!A2:A21,'Stock Data'!D2:D21=MAXIFS('Stock Data'!D2:D21,'Stock Data'!C2:C21,""Bangalore"",'Stock Data'!B2:B21,""Technology""))"),"Titan Innovations")</f>
        <v>Titan Innovations</v>
      </c>
    </row>
  </sheetData>
  <drawing r:id="rId1"/>
</worksheet>
</file>