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mc:AlternateContent xmlns:mc="http://schemas.openxmlformats.org/markup-compatibility/2006">
    <mc:Choice Requires="x15">
      <x15ac:absPath xmlns:x15ac="http://schemas.microsoft.com/office/spreadsheetml/2010/11/ac" url="/Users/virajdhanusha/Desktop/RM projects/Triple Exp Smoothing /"/>
    </mc:Choice>
  </mc:AlternateContent>
  <xr:revisionPtr revIDLastSave="0" documentId="13_ncr:1_{B35A35F3-8A49-C648-9A6F-260CB0F0AAAA}" xr6:coauthVersionLast="47" xr6:coauthVersionMax="47" xr10:uidLastSave="{00000000-0000-0000-0000-000000000000}"/>
  <bookViews>
    <workbookView xWindow="0" yWindow="760" windowWidth="30240" windowHeight="17840" activeTab="1" xr2:uid="{00000000-000D-0000-FFFF-FFFF00000000}"/>
  </bookViews>
  <sheets>
    <sheet name="Final output" sheetId="20" r:id="rId1"/>
    <sheet name="Triple Exponential Smoothing" sheetId="19" r:id="rId2"/>
  </sheets>
  <externalReferences>
    <externalReference r:id="rId3"/>
    <externalReference r:id="rId4"/>
    <externalReference r:id="rId5"/>
  </externalReferences>
  <definedNames>
    <definedName name="__nSelect_" hidden="1">0</definedName>
    <definedName name="alp">#REF!</definedName>
    <definedName name="Alpha" localSheetId="0">'[1]1. Triple Expo Smooth'!$N$1</definedName>
    <definedName name="Alpha" localSheetId="1">'Triple Exponential Smoothing'!$N$1</definedName>
    <definedName name="Alpha">#REF!</definedName>
    <definedName name="Apr">#REF!</definedName>
    <definedName name="Aug">#REF!</definedName>
    <definedName name="Beta" localSheetId="0">'[1]1. Triple Expo Smooth'!$N$2</definedName>
    <definedName name="Beta" localSheetId="1">'Triple Exponential Smoothing'!$N$2</definedName>
    <definedName name="Beta">#REF!</definedName>
    <definedName name="Beta2">#REF!</definedName>
    <definedName name="Dec" localSheetId="1">'[2]Reg Data'!#REF!</definedName>
    <definedName name="Dec">#REF!</definedName>
    <definedName name="Demand">#REF!</definedName>
    <definedName name="Demand_Model2_Predictions" localSheetId="1">[2]Data!#REF!</definedName>
    <definedName name="Demand_Model2_Predictions">[3]Data!#REF!</definedName>
    <definedName name="Demand_Model2_Residuals" localSheetId="1">[2]Data!#REF!</definedName>
    <definedName name="Demand_Model2_Residuals">[3]Data!#REF!</definedName>
    <definedName name="Demand_Model3_Predictions" localSheetId="1">[2]Data!#REF!</definedName>
    <definedName name="Demand_Model3_Predictions">[3]Data!#REF!</definedName>
    <definedName name="Demand_Model3_Residuals" localSheetId="1">[2]Data!#REF!</definedName>
    <definedName name="Demand_Model3_Residuals">[3]Data!#REF!</definedName>
    <definedName name="Feb">#REF!</definedName>
    <definedName name="Gamma" localSheetId="0">'[1]1. Triple Expo Smooth'!$N$3</definedName>
    <definedName name="Gamma" localSheetId="1">'Triple Exponential Smoothing'!$N$3</definedName>
    <definedName name="Gamma">#REF!</definedName>
    <definedName name="Jan">#REF!</definedName>
    <definedName name="Jul">#REF!</definedName>
    <definedName name="Jun">#REF!</definedName>
    <definedName name="k" localSheetId="1">'Triple Exponential Smoothing'!$N$5</definedName>
    <definedName name="k">#REF!</definedName>
    <definedName name="LastAnalysisModel" hidden="1">"Data Analysis 1"</definedName>
    <definedName name="M" localSheetId="1">'Triple Exponential Smoothing'!$N$4</definedName>
    <definedName name="M">#REF!</definedName>
    <definedName name="Mar">#REF!</definedName>
    <definedName name="May">#REF!</definedName>
    <definedName name="nDataAnalysis" hidden="1">1</definedName>
    <definedName name="Nov">#REF!</definedName>
    <definedName name="nRegMod" hidden="1">5</definedName>
    <definedName name="Oct">#REF!</definedName>
    <definedName name="OKtoForecast" hidden="1">1</definedName>
    <definedName name="Per" localSheetId="1">'[2]Reg Data'!#REF!</definedName>
    <definedName name="Per">#REF!</definedName>
    <definedName name="Sep">#REF!</definedName>
    <definedName name="solver_adj" localSheetId="1" hidden="1">'Triple Exponential Smoothing'!$N$1:$N$3</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100</definedName>
    <definedName name="solver_lhs1" localSheetId="1" hidden="1">'Triple Exponential Smoothing'!$N$1:$N$3</definedName>
    <definedName name="solver_lhs2" localSheetId="1" hidden="1">'Triple Exponential Smoothing'!$N$1:$N$3</definedName>
    <definedName name="solver_lin" localSheetId="1" hidden="1">2</definedName>
    <definedName name="solver_mip" localSheetId="1" hidden="1">2147483647</definedName>
    <definedName name="solver_mni" localSheetId="1" hidden="1">30</definedName>
    <definedName name="solver_mrt" localSheetId="1" hidden="1">0.075</definedName>
    <definedName name="solver_msl" localSheetId="1" hidden="1">1</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'Triple Exponential Smoothing'!$P$36</definedName>
    <definedName name="solver_pre" localSheetId="1" hidden="1">0.000001</definedName>
    <definedName name="solver_rbv" localSheetId="1" hidden="1">1</definedName>
    <definedName name="solver_rel1" localSheetId="1" hidden="1">1</definedName>
    <definedName name="solver_rel2" localSheetId="1" hidden="1">3</definedName>
    <definedName name="solver_rhs1" localSheetId="1" hidden="1">1</definedName>
    <definedName name="solver_rhs2" localSheetId="1" hidden="1">0</definedName>
    <definedName name="solver_rlx" localSheetId="1" hidden="1">1</definedName>
    <definedName name="solver_rsd" localSheetId="1" hidden="1">0</definedName>
    <definedName name="solver_scl" localSheetId="1" hidden="1">2</definedName>
    <definedName name="solver_sho" localSheetId="1" hidden="1">2</definedName>
    <definedName name="solver_ssz" localSheetId="1" hidden="1">200</definedName>
    <definedName name="solver_tim" localSheetId="1" hidden="1">100</definedName>
    <definedName name="solver_tol" localSheetId="1" hidden="1">0</definedName>
    <definedName name="solver_typ" localSheetId="1" hidden="1">2</definedName>
    <definedName name="solver_val" localSheetId="1" hidden="1">0</definedName>
    <definedName name="solver_ver" localSheetId="1" hidden="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5" i="19" l="1"/>
  <c r="L141" i="19"/>
  <c r="L55" i="19"/>
  <c r="D3" i="19"/>
  <c r="C3" i="19"/>
  <c r="E3" i="19" l="1"/>
  <c r="F3" i="19" s="1"/>
  <c r="E55" i="19"/>
  <c r="G3" i="19" l="1"/>
  <c r="H3" i="19" s="1"/>
  <c r="I3" i="19" s="1"/>
  <c r="J3" i="19"/>
  <c r="F6" i="19" l="1"/>
  <c r="C4" i="19"/>
  <c r="F4" i="19" s="1"/>
  <c r="E4" i="19"/>
  <c r="E5" i="19"/>
  <c r="F5" i="19" s="1"/>
  <c r="E6" i="19"/>
  <c r="E12" i="19"/>
  <c r="E13" i="19"/>
  <c r="F13" i="19" s="1"/>
  <c r="E20" i="19"/>
  <c r="E21" i="19"/>
  <c r="F21" i="19" s="1"/>
  <c r="E28" i="19"/>
  <c r="E29" i="19"/>
  <c r="F29" i="19" s="1"/>
  <c r="E36" i="19"/>
  <c r="E37" i="19"/>
  <c r="F37" i="19" s="1"/>
  <c r="E44" i="19"/>
  <c r="E45" i="19"/>
  <c r="F45" i="19" s="1"/>
  <c r="E52" i="19"/>
  <c r="E53" i="19"/>
  <c r="F53" i="19" s="1"/>
  <c r="C5" i="19"/>
  <c r="C6" i="19"/>
  <c r="C7" i="19"/>
  <c r="C8" i="19"/>
  <c r="C9" i="19"/>
  <c r="E9" i="19" s="1"/>
  <c r="C10" i="19"/>
  <c r="C11" i="19"/>
  <c r="E11" i="19" s="1"/>
  <c r="C12" i="19"/>
  <c r="C13" i="19"/>
  <c r="C14" i="19"/>
  <c r="E14" i="19" s="1"/>
  <c r="F14" i="19" s="1"/>
  <c r="C15" i="19"/>
  <c r="C16" i="19"/>
  <c r="E16" i="19" s="1"/>
  <c r="C17" i="19"/>
  <c r="C18" i="19"/>
  <c r="E18" i="19" s="1"/>
  <c r="C19" i="19"/>
  <c r="C20" i="19"/>
  <c r="C21" i="19"/>
  <c r="C22" i="19"/>
  <c r="E22" i="19" s="1"/>
  <c r="F22" i="19" s="1"/>
  <c r="C23" i="19"/>
  <c r="C24" i="19"/>
  <c r="C25" i="19"/>
  <c r="E25" i="19" s="1"/>
  <c r="C26" i="19"/>
  <c r="C27" i="19"/>
  <c r="C28" i="19"/>
  <c r="C29" i="19"/>
  <c r="C30" i="19"/>
  <c r="E30" i="19" s="1"/>
  <c r="F30" i="19" s="1"/>
  <c r="C31" i="19"/>
  <c r="C32" i="19"/>
  <c r="E32" i="19" s="1"/>
  <c r="C33" i="19"/>
  <c r="C34" i="19"/>
  <c r="E34" i="19" s="1"/>
  <c r="C35" i="19"/>
  <c r="C36" i="19"/>
  <c r="C37" i="19"/>
  <c r="C38" i="19"/>
  <c r="E38" i="19" s="1"/>
  <c r="F38" i="19" s="1"/>
  <c r="C39" i="19"/>
  <c r="C40" i="19"/>
  <c r="C41" i="19"/>
  <c r="E41" i="19" s="1"/>
  <c r="C42" i="19"/>
  <c r="C43" i="19"/>
  <c r="C44" i="19"/>
  <c r="C45" i="19"/>
  <c r="C46" i="19"/>
  <c r="E46" i="19" s="1"/>
  <c r="F46" i="19" s="1"/>
  <c r="C47" i="19"/>
  <c r="C48" i="19"/>
  <c r="C49" i="19"/>
  <c r="C50" i="19"/>
  <c r="C51" i="19"/>
  <c r="C52" i="19"/>
  <c r="C53" i="19"/>
  <c r="C54" i="19"/>
  <c r="E54" i="19" s="1"/>
  <c r="L4" i="19"/>
  <c r="D4" i="19"/>
  <c r="D5" i="19"/>
  <c r="D6" i="19"/>
  <c r="D7" i="19"/>
  <c r="D8" i="19"/>
  <c r="D9" i="19"/>
  <c r="D10" i="19"/>
  <c r="D11" i="19"/>
  <c r="D12" i="19"/>
  <c r="D13" i="19"/>
  <c r="D14" i="19"/>
  <c r="D15" i="19"/>
  <c r="D16" i="19"/>
  <c r="F16" i="19" s="1"/>
  <c r="D17" i="19"/>
  <c r="D18" i="19"/>
  <c r="D19" i="19"/>
  <c r="D20" i="19"/>
  <c r="D21" i="19"/>
  <c r="D22" i="19"/>
  <c r="D23" i="19"/>
  <c r="D24" i="19"/>
  <c r="D25" i="19"/>
  <c r="D26" i="19"/>
  <c r="D27" i="19"/>
  <c r="D28" i="19"/>
  <c r="D29" i="19"/>
  <c r="D30" i="19"/>
  <c r="D31" i="19"/>
  <c r="D32" i="19"/>
  <c r="F32" i="19" s="1"/>
  <c r="D33" i="19"/>
  <c r="D34" i="19"/>
  <c r="D35" i="19"/>
  <c r="D36" i="19"/>
  <c r="D37" i="19"/>
  <c r="D38" i="19"/>
  <c r="D39" i="19"/>
  <c r="D40" i="19"/>
  <c r="D41" i="19"/>
  <c r="D42" i="19"/>
  <c r="D43" i="19"/>
  <c r="D44" i="19"/>
  <c r="D45" i="19"/>
  <c r="D46" i="19"/>
  <c r="D47" i="19"/>
  <c r="D48" i="19"/>
  <c r="D49" i="19"/>
  <c r="D50" i="19"/>
  <c r="D51" i="19"/>
  <c r="D52" i="19"/>
  <c r="D53" i="19"/>
  <c r="D54" i="19"/>
  <c r="A8" i="20"/>
  <c r="A7" i="20"/>
  <c r="A6" i="20"/>
  <c r="A5" i="20"/>
  <c r="E107" i="19" l="1"/>
  <c r="D55" i="19"/>
  <c r="C56" i="19" s="1"/>
  <c r="E85" i="19"/>
  <c r="E43" i="19"/>
  <c r="F43" i="19" s="1"/>
  <c r="E104" i="19"/>
  <c r="E96" i="19"/>
  <c r="E88" i="19"/>
  <c r="E80" i="19"/>
  <c r="E72" i="19"/>
  <c r="E64" i="19"/>
  <c r="F41" i="19"/>
  <c r="F33" i="19"/>
  <c r="F25" i="19"/>
  <c r="F9" i="19"/>
  <c r="E79" i="19"/>
  <c r="E71" i="19"/>
  <c r="E63" i="19"/>
  <c r="E94" i="19"/>
  <c r="E78" i="19"/>
  <c r="E27" i="19"/>
  <c r="E83" i="19"/>
  <c r="E49" i="19"/>
  <c r="F49" i="19" s="1"/>
  <c r="E33" i="19"/>
  <c r="E17" i="19"/>
  <c r="F17" i="19" s="1"/>
  <c r="F52" i="19"/>
  <c r="F44" i="19"/>
  <c r="F36" i="19"/>
  <c r="F28" i="19"/>
  <c r="F20" i="19"/>
  <c r="F12" i="19"/>
  <c r="E70" i="19"/>
  <c r="E77" i="19"/>
  <c r="E51" i="19"/>
  <c r="E103" i="19" s="1"/>
  <c r="E35" i="19"/>
  <c r="E87" i="19" s="1"/>
  <c r="E19" i="19"/>
  <c r="E42" i="19"/>
  <c r="E106" i="19"/>
  <c r="F54" i="19"/>
  <c r="E98" i="19"/>
  <c r="E90" i="19"/>
  <c r="E82" i="19"/>
  <c r="E74" i="19"/>
  <c r="E66" i="19"/>
  <c r="E58" i="19"/>
  <c r="E48" i="19"/>
  <c r="E100" i="19" s="1"/>
  <c r="E40" i="19"/>
  <c r="F40" i="19" s="1"/>
  <c r="E24" i="19"/>
  <c r="F24" i="19" s="1"/>
  <c r="E8" i="19"/>
  <c r="E60" i="19" s="1"/>
  <c r="F27" i="19"/>
  <c r="F19" i="19"/>
  <c r="F11" i="19"/>
  <c r="E86" i="19"/>
  <c r="E93" i="19"/>
  <c r="E61" i="19"/>
  <c r="E56" i="19"/>
  <c r="E84" i="19"/>
  <c r="E68" i="19"/>
  <c r="E50" i="19"/>
  <c r="E102" i="19" s="1"/>
  <c r="E26" i="19"/>
  <c r="E10" i="19"/>
  <c r="F10" i="19" s="1"/>
  <c r="E105" i="19"/>
  <c r="E97" i="19"/>
  <c r="E89" i="19"/>
  <c r="E81" i="19"/>
  <c r="E73" i="19"/>
  <c r="E65" i="19"/>
  <c r="E57" i="19"/>
  <c r="E47" i="19"/>
  <c r="F47" i="19" s="1"/>
  <c r="E39" i="19"/>
  <c r="F39" i="19" s="1"/>
  <c r="E31" i="19"/>
  <c r="F31" i="19" s="1"/>
  <c r="E23" i="19"/>
  <c r="F23" i="19" s="1"/>
  <c r="E15" i="19"/>
  <c r="F15" i="19" s="1"/>
  <c r="E7" i="19"/>
  <c r="F7" i="19" s="1"/>
  <c r="F50" i="19"/>
  <c r="F42" i="19"/>
  <c r="F34" i="19"/>
  <c r="F26" i="19"/>
  <c r="F18" i="19"/>
  <c r="F51" i="19" l="1"/>
  <c r="E75" i="19"/>
  <c r="E101" i="19"/>
  <c r="F55" i="19"/>
  <c r="E91" i="19"/>
  <c r="E99" i="19"/>
  <c r="F8" i="19"/>
  <c r="E92" i="19"/>
  <c r="E108" i="19"/>
  <c r="D56" i="19"/>
  <c r="C57" i="19" s="1"/>
  <c r="F48" i="19"/>
  <c r="F35" i="19"/>
  <c r="E76" i="19"/>
  <c r="E59" i="19"/>
  <c r="E95" i="19"/>
  <c r="E62" i="19"/>
  <c r="E67" i="19"/>
  <c r="E69" i="19"/>
  <c r="F56" i="19" l="1"/>
  <c r="D57" i="19"/>
  <c r="F57" i="19" s="1"/>
  <c r="E109" i="19"/>
  <c r="G4" i="19"/>
  <c r="H4" i="19" s="1"/>
  <c r="J4" i="19"/>
  <c r="C58" i="19" l="1"/>
  <c r="E110" i="19" s="1"/>
  <c r="J5" i="19"/>
  <c r="I4" i="19"/>
  <c r="D58" i="19" l="1"/>
  <c r="C59" i="19" s="1"/>
  <c r="E111" i="19" s="1"/>
  <c r="G5" i="19"/>
  <c r="H5" i="19" s="1"/>
  <c r="J6" i="19"/>
  <c r="F58" i="19" l="1"/>
  <c r="D59" i="19"/>
  <c r="C60" i="19" s="1"/>
  <c r="D60" i="19" s="1"/>
  <c r="C61" i="19" s="1"/>
  <c r="G6" i="19"/>
  <c r="H6" i="19" s="1"/>
  <c r="J7" i="19"/>
  <c r="I5" i="19"/>
  <c r="E112" i="19" l="1"/>
  <c r="F59" i="19"/>
  <c r="F60" i="19"/>
  <c r="E113" i="19"/>
  <c r="D61" i="19"/>
  <c r="C62" i="19" s="1"/>
  <c r="G7" i="19"/>
  <c r="H7" i="19" s="1"/>
  <c r="I7" i="19" s="1"/>
  <c r="J8" i="19"/>
  <c r="I6" i="19"/>
  <c r="E114" i="19" l="1"/>
  <c r="D62" i="19"/>
  <c r="C63" i="19" s="1"/>
  <c r="F61" i="19"/>
  <c r="G8" i="19"/>
  <c r="H8" i="19" s="1"/>
  <c r="F62" i="19" l="1"/>
  <c r="E115" i="19"/>
  <c r="D63" i="19"/>
  <c r="C64" i="19" s="1"/>
  <c r="I8" i="19"/>
  <c r="F63" i="19" l="1"/>
  <c r="E116" i="19"/>
  <c r="D64" i="19"/>
  <c r="C65" i="19" s="1"/>
  <c r="J9" i="19"/>
  <c r="G9" i="19"/>
  <c r="H9" i="19" s="1"/>
  <c r="F64" i="19" l="1"/>
  <c r="E117" i="19"/>
  <c r="D65" i="19"/>
  <c r="C66" i="19" s="1"/>
  <c r="J10" i="19"/>
  <c r="I9" i="19"/>
  <c r="F65" i="19" l="1"/>
  <c r="E118" i="19"/>
  <c r="D66" i="19"/>
  <c r="C67" i="19" s="1"/>
  <c r="G10" i="19"/>
  <c r="H10" i="19" s="1"/>
  <c r="F66" i="19" l="1"/>
  <c r="E119" i="19"/>
  <c r="D67" i="19"/>
  <c r="C68" i="19" s="1"/>
  <c r="J11" i="19"/>
  <c r="I10" i="19"/>
  <c r="F67" i="19" l="1"/>
  <c r="E120" i="19"/>
  <c r="D68" i="19"/>
  <c r="C69" i="19" s="1"/>
  <c r="G11" i="19"/>
  <c r="H11" i="19" s="1"/>
  <c r="F68" i="19" l="1"/>
  <c r="D69" i="19"/>
  <c r="F69" i="19" s="1"/>
  <c r="E121" i="19"/>
  <c r="J12" i="19"/>
  <c r="I11" i="19"/>
  <c r="C70" i="19" l="1"/>
  <c r="E122" i="19" s="1"/>
  <c r="G12" i="19"/>
  <c r="H12" i="19" s="1"/>
  <c r="D70" i="19" l="1"/>
  <c r="C71" i="19" s="1"/>
  <c r="E123" i="19" s="1"/>
  <c r="I12" i="19"/>
  <c r="J13" i="19"/>
  <c r="D71" i="19" l="1"/>
  <c r="C72" i="19" s="1"/>
  <c r="E124" i="19" s="1"/>
  <c r="F70" i="19"/>
  <c r="G13" i="19"/>
  <c r="H13" i="19" s="1"/>
  <c r="F71" i="19" l="1"/>
  <c r="D72" i="19"/>
  <c r="C73" i="19" s="1"/>
  <c r="D73" i="19" s="1"/>
  <c r="C74" i="19" s="1"/>
  <c r="J14" i="19"/>
  <c r="I13" i="19"/>
  <c r="E125" i="19" l="1"/>
  <c r="F72" i="19"/>
  <c r="F73" i="19"/>
  <c r="E126" i="19"/>
  <c r="D74" i="19"/>
  <c r="C75" i="19" s="1"/>
  <c r="G14" i="19"/>
  <c r="H14" i="19" s="1"/>
  <c r="E127" i="19" l="1"/>
  <c r="D75" i="19"/>
  <c r="C76" i="19" s="1"/>
  <c r="F74" i="19"/>
  <c r="J15" i="19"/>
  <c r="I14" i="19"/>
  <c r="F75" i="19" l="1"/>
  <c r="E128" i="19"/>
  <c r="D76" i="19"/>
  <c r="C77" i="19" s="1"/>
  <c r="G15" i="19"/>
  <c r="H15" i="19" s="1"/>
  <c r="F76" i="19" l="1"/>
  <c r="E129" i="19"/>
  <c r="D77" i="19"/>
  <c r="C78" i="19" s="1"/>
  <c r="J16" i="19"/>
  <c r="I15" i="19"/>
  <c r="F77" i="19" l="1"/>
  <c r="E130" i="19"/>
  <c r="D78" i="19"/>
  <c r="C79" i="19" s="1"/>
  <c r="G16" i="19"/>
  <c r="H16" i="19" s="1"/>
  <c r="F78" i="19" l="1"/>
  <c r="E131" i="19"/>
  <c r="D79" i="19"/>
  <c r="C80" i="19" s="1"/>
  <c r="J17" i="19"/>
  <c r="I16" i="19"/>
  <c r="F79" i="19" l="1"/>
  <c r="E132" i="19"/>
  <c r="D80" i="19"/>
  <c r="C81" i="19" s="1"/>
  <c r="G17" i="19"/>
  <c r="H17" i="19" s="1"/>
  <c r="F80" i="19" l="1"/>
  <c r="E133" i="19"/>
  <c r="D81" i="19"/>
  <c r="C82" i="19" s="1"/>
  <c r="J18" i="19"/>
  <c r="I17" i="19"/>
  <c r="F81" i="19" l="1"/>
  <c r="E134" i="19"/>
  <c r="D82" i="19"/>
  <c r="C83" i="19" s="1"/>
  <c r="G18" i="19"/>
  <c r="H18" i="19" s="1"/>
  <c r="F82" i="19" l="1"/>
  <c r="E135" i="19"/>
  <c r="D83" i="19"/>
  <c r="C84" i="19" s="1"/>
  <c r="J19" i="19"/>
  <c r="I18" i="19"/>
  <c r="F83" i="19" l="1"/>
  <c r="E136" i="19"/>
  <c r="D84" i="19"/>
  <c r="C85" i="19" s="1"/>
  <c r="G19" i="19"/>
  <c r="H19" i="19" s="1"/>
  <c r="F84" i="19" l="1"/>
  <c r="E137" i="19"/>
  <c r="D85" i="19"/>
  <c r="C86" i="19" s="1"/>
  <c r="J20" i="19"/>
  <c r="I19" i="19"/>
  <c r="F85" i="19" l="1"/>
  <c r="E138" i="19"/>
  <c r="D86" i="19"/>
  <c r="C87" i="19" s="1"/>
  <c r="G20" i="19"/>
  <c r="H20" i="19" s="1"/>
  <c r="F86" i="19" l="1"/>
  <c r="E139" i="19"/>
  <c r="D87" i="19"/>
  <c r="C88" i="19" s="1"/>
  <c r="J21" i="19"/>
  <c r="I20" i="19"/>
  <c r="F87" i="19" l="1"/>
  <c r="E140" i="19"/>
  <c r="D88" i="19"/>
  <c r="C89" i="19" s="1"/>
  <c r="G21" i="19"/>
  <c r="H21" i="19" s="1"/>
  <c r="F88" i="19" l="1"/>
  <c r="E141" i="19"/>
  <c r="D89" i="19"/>
  <c r="C90" i="19" s="1"/>
  <c r="J22" i="19"/>
  <c r="I21" i="19"/>
  <c r="F89" i="19" l="1"/>
  <c r="E142" i="19"/>
  <c r="D90" i="19"/>
  <c r="C91" i="19" s="1"/>
  <c r="G22" i="19"/>
  <c r="H22" i="19" s="1"/>
  <c r="F90" i="19" l="1"/>
  <c r="E143" i="19"/>
  <c r="D91" i="19"/>
  <c r="C92" i="19" s="1"/>
  <c r="J23" i="19"/>
  <c r="I22" i="19"/>
  <c r="F91" i="19" l="1"/>
  <c r="E144" i="19"/>
  <c r="D92" i="19"/>
  <c r="C93" i="19" s="1"/>
  <c r="G23" i="19"/>
  <c r="H23" i="19" s="1"/>
  <c r="F92" i="19" l="1"/>
  <c r="E145" i="19"/>
  <c r="D93" i="19"/>
  <c r="C94" i="19" s="1"/>
  <c r="J24" i="19"/>
  <c r="I23" i="19"/>
  <c r="F93" i="19" l="1"/>
  <c r="E146" i="19"/>
  <c r="D94" i="19"/>
  <c r="C95" i="19" s="1"/>
  <c r="G24" i="19"/>
  <c r="H24" i="19" s="1"/>
  <c r="F94" i="19" l="1"/>
  <c r="E147" i="19"/>
  <c r="D95" i="19"/>
  <c r="C96" i="19" s="1"/>
  <c r="I24" i="19"/>
  <c r="J25" i="19"/>
  <c r="F95" i="19" l="1"/>
  <c r="E148" i="19"/>
  <c r="D96" i="19"/>
  <c r="C97" i="19" s="1"/>
  <c r="G25" i="19"/>
  <c r="H25" i="19" s="1"/>
  <c r="F96" i="19" l="1"/>
  <c r="E149" i="19"/>
  <c r="D97" i="19"/>
  <c r="C98" i="19" s="1"/>
  <c r="J26" i="19"/>
  <c r="I25" i="19"/>
  <c r="F97" i="19" l="1"/>
  <c r="E150" i="19"/>
  <c r="D98" i="19"/>
  <c r="C99" i="19" s="1"/>
  <c r="G26" i="19"/>
  <c r="H26" i="19" s="1"/>
  <c r="F98" i="19" l="1"/>
  <c r="E151" i="19"/>
  <c r="D99" i="19"/>
  <c r="C100" i="19" s="1"/>
  <c r="J27" i="19"/>
  <c r="I26" i="19"/>
  <c r="F99" i="19" l="1"/>
  <c r="E152" i="19"/>
  <c r="D100" i="19"/>
  <c r="C101" i="19" s="1"/>
  <c r="G27" i="19"/>
  <c r="H27" i="19" s="1"/>
  <c r="F100" i="19" l="1"/>
  <c r="E153" i="19"/>
  <c r="D101" i="19"/>
  <c r="C102" i="19" s="1"/>
  <c r="J28" i="19"/>
  <c r="I27" i="19"/>
  <c r="F101" i="19" l="1"/>
  <c r="E154" i="19"/>
  <c r="D102" i="19"/>
  <c r="C103" i="19" s="1"/>
  <c r="G28" i="19"/>
  <c r="H28" i="19" s="1"/>
  <c r="F102" i="19" l="1"/>
  <c r="E155" i="19"/>
  <c r="D103" i="19"/>
  <c r="C104" i="19" s="1"/>
  <c r="I28" i="19"/>
  <c r="J29" i="19"/>
  <c r="F103" i="19" l="1"/>
  <c r="E156" i="19"/>
  <c r="D104" i="19"/>
  <c r="C105" i="19" s="1"/>
  <c r="G29" i="19"/>
  <c r="H29" i="19" s="1"/>
  <c r="F104" i="19" l="1"/>
  <c r="E157" i="19"/>
  <c r="D105" i="19"/>
  <c r="C106" i="19" s="1"/>
  <c r="J30" i="19"/>
  <c r="I29" i="19"/>
  <c r="F105" i="19" l="1"/>
  <c r="E158" i="19"/>
  <c r="D106" i="19"/>
  <c r="C107" i="19" s="1"/>
  <c r="G30" i="19"/>
  <c r="H30" i="19" s="1"/>
  <c r="F106" i="19" l="1"/>
  <c r="E159" i="19"/>
  <c r="D107" i="19"/>
  <c r="C108" i="19" s="1"/>
  <c r="J31" i="19"/>
  <c r="I30" i="19"/>
  <c r="F107" i="19" l="1"/>
  <c r="E160" i="19"/>
  <c r="D108" i="19"/>
  <c r="C109" i="19" s="1"/>
  <c r="G31" i="19"/>
  <c r="H31" i="19" s="1"/>
  <c r="F108" i="19" l="1"/>
  <c r="E161" i="19"/>
  <c r="D109" i="19"/>
  <c r="C110" i="19" s="1"/>
  <c r="I31" i="19"/>
  <c r="J32" i="19"/>
  <c r="F109" i="19" l="1"/>
  <c r="E162" i="19"/>
  <c r="D110" i="19"/>
  <c r="C111" i="19" s="1"/>
  <c r="G32" i="19"/>
  <c r="H32" i="19" s="1"/>
  <c r="F110" i="19" l="1"/>
  <c r="E163" i="19"/>
  <c r="D111" i="19"/>
  <c r="C112" i="19" s="1"/>
  <c r="J33" i="19"/>
  <c r="I32" i="19"/>
  <c r="F111" i="19" l="1"/>
  <c r="E164" i="19"/>
  <c r="D112" i="19"/>
  <c r="C113" i="19" s="1"/>
  <c r="G33" i="19"/>
  <c r="H33" i="19" s="1"/>
  <c r="F112" i="19" l="1"/>
  <c r="E165" i="19"/>
  <c r="D113" i="19"/>
  <c r="C114" i="19" s="1"/>
  <c r="J34" i="19"/>
  <c r="I33" i="19"/>
  <c r="F113" i="19" l="1"/>
  <c r="E166" i="19"/>
  <c r="D114" i="19"/>
  <c r="C115" i="19" s="1"/>
  <c r="G34" i="19"/>
  <c r="H34" i="19" s="1"/>
  <c r="E167" i="19" l="1"/>
  <c r="D115" i="19"/>
  <c r="C116" i="19" s="1"/>
  <c r="F114" i="19"/>
  <c r="J35" i="19"/>
  <c r="I34" i="19"/>
  <c r="F115" i="19" l="1"/>
  <c r="E168" i="19"/>
  <c r="D116" i="19"/>
  <c r="C117" i="19" s="1"/>
  <c r="G35" i="19"/>
  <c r="H35" i="19" s="1"/>
  <c r="F116" i="19" l="1"/>
  <c r="E169" i="19"/>
  <c r="D117" i="19"/>
  <c r="C118" i="19" s="1"/>
  <c r="J36" i="19"/>
  <c r="I35" i="19"/>
  <c r="F117" i="19" l="1"/>
  <c r="E170" i="19"/>
  <c r="D118" i="19"/>
  <c r="C119" i="19" s="1"/>
  <c r="G36" i="19"/>
  <c r="H36" i="19" s="1"/>
  <c r="F118" i="19" l="1"/>
  <c r="E171" i="19"/>
  <c r="D119" i="19"/>
  <c r="C120" i="19" s="1"/>
  <c r="J37" i="19"/>
  <c r="I36" i="19"/>
  <c r="F119" i="19" l="1"/>
  <c r="E172" i="19"/>
  <c r="D120" i="19"/>
  <c r="C121" i="19" s="1"/>
  <c r="G37" i="19"/>
  <c r="H37" i="19" s="1"/>
  <c r="F120" i="19" l="1"/>
  <c r="E173" i="19"/>
  <c r="D121" i="19"/>
  <c r="C122" i="19" s="1"/>
  <c r="J38" i="19"/>
  <c r="I37" i="19"/>
  <c r="F121" i="19" l="1"/>
  <c r="E174" i="19"/>
  <c r="D122" i="19"/>
  <c r="C123" i="19" s="1"/>
  <c r="G38" i="19"/>
  <c r="H38" i="19" s="1"/>
  <c r="E175" i="19" l="1"/>
  <c r="D123" i="19"/>
  <c r="C124" i="19" s="1"/>
  <c r="F122" i="19"/>
  <c r="J39" i="19"/>
  <c r="I38" i="19"/>
  <c r="F123" i="19" l="1"/>
  <c r="E176" i="19"/>
  <c r="D124" i="19"/>
  <c r="C125" i="19" s="1"/>
  <c r="G39" i="19"/>
  <c r="H39" i="19" s="1"/>
  <c r="F124" i="19" l="1"/>
  <c r="E177" i="19"/>
  <c r="D125" i="19"/>
  <c r="C126" i="19" s="1"/>
  <c r="J40" i="19"/>
  <c r="I39" i="19"/>
  <c r="F125" i="19" l="1"/>
  <c r="E178" i="19"/>
  <c r="D126" i="19"/>
  <c r="C127" i="19" s="1"/>
  <c r="G40" i="19"/>
  <c r="H40" i="19" s="1"/>
  <c r="F126" i="19" l="1"/>
  <c r="D127" i="19"/>
  <c r="C128" i="19" s="1"/>
  <c r="I40" i="19"/>
  <c r="J41" i="19"/>
  <c r="F127" i="19" l="1"/>
  <c r="D128" i="19"/>
  <c r="C129" i="19" s="1"/>
  <c r="G41" i="19"/>
  <c r="H41" i="19" s="1"/>
  <c r="F128" i="19" l="1"/>
  <c r="D129" i="19"/>
  <c r="C130" i="19" s="1"/>
  <c r="J42" i="19"/>
  <c r="I41" i="19"/>
  <c r="F129" i="19" l="1"/>
  <c r="D130" i="19"/>
  <c r="C131" i="19" s="1"/>
  <c r="G42" i="19"/>
  <c r="H42" i="19" s="1"/>
  <c r="F130" i="19" l="1"/>
  <c r="D131" i="19"/>
  <c r="C132" i="19" s="1"/>
  <c r="J43" i="19"/>
  <c r="I42" i="19"/>
  <c r="F131" i="19" l="1"/>
  <c r="D132" i="19"/>
  <c r="C133" i="19" s="1"/>
  <c r="G43" i="19"/>
  <c r="H43" i="19" s="1"/>
  <c r="F132" i="19" l="1"/>
  <c r="D133" i="19"/>
  <c r="C134" i="19" s="1"/>
  <c r="J44" i="19"/>
  <c r="I43" i="19"/>
  <c r="F133" i="19" l="1"/>
  <c r="D134" i="19"/>
  <c r="C135" i="19" s="1"/>
  <c r="G44" i="19"/>
  <c r="H44" i="19" s="1"/>
  <c r="F134" i="19" l="1"/>
  <c r="D135" i="19"/>
  <c r="C136" i="19" s="1"/>
  <c r="I44" i="19"/>
  <c r="J45" i="19"/>
  <c r="F135" i="19" l="1"/>
  <c r="D136" i="19"/>
  <c r="C137" i="19" s="1"/>
  <c r="G45" i="19"/>
  <c r="H45" i="19" s="1"/>
  <c r="F136" i="19" l="1"/>
  <c r="D137" i="19"/>
  <c r="C138" i="19" s="1"/>
  <c r="J46" i="19"/>
  <c r="I45" i="19"/>
  <c r="F137" i="19" l="1"/>
  <c r="D138" i="19"/>
  <c r="C139" i="19" s="1"/>
  <c r="G46" i="19"/>
  <c r="H46" i="19" s="1"/>
  <c r="F138" i="19" l="1"/>
  <c r="D139" i="19"/>
  <c r="C140" i="19" s="1"/>
  <c r="J47" i="19"/>
  <c r="I46" i="19"/>
  <c r="F139" i="19" l="1"/>
  <c r="D140" i="19"/>
  <c r="C141" i="19" s="1"/>
  <c r="G47" i="19"/>
  <c r="H47" i="19" s="1"/>
  <c r="F140" i="19" l="1"/>
  <c r="D141" i="19"/>
  <c r="C142" i="19" s="1"/>
  <c r="J48" i="19"/>
  <c r="I47" i="19"/>
  <c r="F141" i="19" l="1"/>
  <c r="D142" i="19"/>
  <c r="C143" i="19" s="1"/>
  <c r="G48" i="19"/>
  <c r="H48" i="19" s="1"/>
  <c r="F142" i="19" l="1"/>
  <c r="D143" i="19"/>
  <c r="C144" i="19" s="1"/>
  <c r="J49" i="19"/>
  <c r="I48" i="19"/>
  <c r="F143" i="19" l="1"/>
  <c r="D144" i="19"/>
  <c r="C145" i="19" s="1"/>
  <c r="G49" i="19"/>
  <c r="H49" i="19" s="1"/>
  <c r="F144" i="19" l="1"/>
  <c r="D145" i="19"/>
  <c r="C146" i="19" s="1"/>
  <c r="J50" i="19"/>
  <c r="I49" i="19"/>
  <c r="F145" i="19" l="1"/>
  <c r="D146" i="19"/>
  <c r="C147" i="19" s="1"/>
  <c r="G50" i="19"/>
  <c r="H50" i="19" s="1"/>
  <c r="F146" i="19" l="1"/>
  <c r="D147" i="19"/>
  <c r="C148" i="19" s="1"/>
  <c r="I50" i="19"/>
  <c r="J51" i="19"/>
  <c r="F147" i="19" l="1"/>
  <c r="D148" i="19"/>
  <c r="C149" i="19" s="1"/>
  <c r="G51" i="19"/>
  <c r="H51" i="19" s="1"/>
  <c r="F148" i="19" l="1"/>
  <c r="D149" i="19"/>
  <c r="C150" i="19" s="1"/>
  <c r="J52" i="19"/>
  <c r="I51" i="19"/>
  <c r="F149" i="19" l="1"/>
  <c r="D150" i="19"/>
  <c r="C151" i="19" s="1"/>
  <c r="G52" i="19"/>
  <c r="H52" i="19" s="1"/>
  <c r="F150" i="19" l="1"/>
  <c r="D151" i="19"/>
  <c r="C152" i="19" s="1"/>
  <c r="J53" i="19"/>
  <c r="I52" i="19"/>
  <c r="F151" i="19" l="1"/>
  <c r="D152" i="19"/>
  <c r="C153" i="19" s="1"/>
  <c r="G53" i="19"/>
  <c r="H53" i="19" s="1"/>
  <c r="F152" i="19" l="1"/>
  <c r="D153" i="19"/>
  <c r="C154" i="19" s="1"/>
  <c r="J54" i="19"/>
  <c r="I53" i="19"/>
  <c r="F153" i="19" l="1"/>
  <c r="D154" i="19"/>
  <c r="C155" i="19" s="1"/>
  <c r="G54" i="19"/>
  <c r="H54" i="19" s="1"/>
  <c r="F154" i="19" l="1"/>
  <c r="D155" i="19"/>
  <c r="C156" i="19" s="1"/>
  <c r="J55" i="19"/>
  <c r="I54" i="19"/>
  <c r="F155" i="19" l="1"/>
  <c r="D156" i="19"/>
  <c r="C157" i="19" s="1"/>
  <c r="G55" i="19"/>
  <c r="H55" i="19" s="1"/>
  <c r="F156" i="19" l="1"/>
  <c r="D157" i="19"/>
  <c r="C158" i="19" s="1"/>
  <c r="J56" i="19"/>
  <c r="I55" i="19"/>
  <c r="D158" i="19" l="1"/>
  <c r="C159" i="19" s="1"/>
  <c r="F157" i="19"/>
  <c r="G56" i="19"/>
  <c r="H56" i="19" s="1"/>
  <c r="F158" i="19" l="1"/>
  <c r="D159" i="19"/>
  <c r="C160" i="19" s="1"/>
  <c r="I56" i="19"/>
  <c r="J57" i="19"/>
  <c r="F159" i="19" l="1"/>
  <c r="D160" i="19"/>
  <c r="C161" i="19" s="1"/>
  <c r="G57" i="19"/>
  <c r="H57" i="19" s="1"/>
  <c r="F160" i="19" l="1"/>
  <c r="D161" i="19"/>
  <c r="C162" i="19" s="1"/>
  <c r="I57" i="19"/>
  <c r="J58" i="19"/>
  <c r="F161" i="19" l="1"/>
  <c r="D162" i="19"/>
  <c r="C163" i="19" s="1"/>
  <c r="G58" i="19"/>
  <c r="H58" i="19" s="1"/>
  <c r="F162" i="19" l="1"/>
  <c r="D163" i="19"/>
  <c r="C164" i="19" s="1"/>
  <c r="I58" i="19"/>
  <c r="J59" i="19"/>
  <c r="F163" i="19" l="1"/>
  <c r="D164" i="19"/>
  <c r="C165" i="19" s="1"/>
  <c r="G59" i="19"/>
  <c r="H59" i="19" s="1"/>
  <c r="F164" i="19" l="1"/>
  <c r="D165" i="19"/>
  <c r="C166" i="19" s="1"/>
  <c r="I59" i="19"/>
  <c r="J60" i="19"/>
  <c r="F165" i="19" l="1"/>
  <c r="D166" i="19"/>
  <c r="C167" i="19" s="1"/>
  <c r="G60" i="19"/>
  <c r="H60" i="19" s="1"/>
  <c r="F166" i="19" l="1"/>
  <c r="D167" i="19"/>
  <c r="C168" i="19" s="1"/>
  <c r="I60" i="19"/>
  <c r="J61" i="19"/>
  <c r="F167" i="19" l="1"/>
  <c r="D168" i="19"/>
  <c r="C169" i="19" s="1"/>
  <c r="G61" i="19"/>
  <c r="H61" i="19" s="1"/>
  <c r="F168" i="19" l="1"/>
  <c r="D169" i="19"/>
  <c r="C170" i="19" s="1"/>
  <c r="I61" i="19"/>
  <c r="J62" i="19"/>
  <c r="F169" i="19" l="1"/>
  <c r="D170" i="19"/>
  <c r="C171" i="19" s="1"/>
  <c r="G62" i="19"/>
  <c r="H62" i="19" s="1"/>
  <c r="F170" i="19" l="1"/>
  <c r="D171" i="19"/>
  <c r="C172" i="19" s="1"/>
  <c r="J63" i="19"/>
  <c r="I62" i="19"/>
  <c r="F171" i="19" l="1"/>
  <c r="D172" i="19"/>
  <c r="C173" i="19" s="1"/>
  <c r="G63" i="19"/>
  <c r="H63" i="19" s="1"/>
  <c r="F172" i="19" l="1"/>
  <c r="D173" i="19"/>
  <c r="C174" i="19" s="1"/>
  <c r="I63" i="19"/>
  <c r="J64" i="19"/>
  <c r="F173" i="19" l="1"/>
  <c r="D174" i="19"/>
  <c r="F174" i="19" s="1"/>
  <c r="G64" i="19"/>
  <c r="H64" i="19" s="1"/>
  <c r="N11" i="19" l="1"/>
  <c r="C175" i="19"/>
  <c r="D175" i="19" s="1"/>
  <c r="F178" i="19" s="1"/>
  <c r="C8" i="20" s="1"/>
  <c r="J65" i="19"/>
  <c r="I64" i="19"/>
  <c r="F175" i="19" l="1"/>
  <c r="C5" i="20" s="1"/>
  <c r="F177" i="19"/>
  <c r="C7" i="20" s="1"/>
  <c r="F176" i="19"/>
  <c r="C6" i="20" s="1"/>
  <c r="G65" i="19"/>
  <c r="H65" i="19" s="1"/>
  <c r="J66" i="19" l="1"/>
  <c r="I65" i="19"/>
  <c r="G66" i="19" l="1"/>
  <c r="H66" i="19" s="1"/>
  <c r="I66" i="19" l="1"/>
  <c r="J67" i="19"/>
  <c r="G67" i="19" l="1"/>
  <c r="H67" i="19" s="1"/>
  <c r="J68" i="19" l="1"/>
  <c r="I67" i="19"/>
  <c r="G68" i="19" l="1"/>
  <c r="H68" i="19" s="1"/>
  <c r="I68" i="19" l="1"/>
  <c r="J69" i="19"/>
  <c r="G69" i="19" l="1"/>
  <c r="H69" i="19" s="1"/>
  <c r="I69" i="19" l="1"/>
  <c r="J70" i="19"/>
  <c r="G70" i="19" l="1"/>
  <c r="H70" i="19" s="1"/>
  <c r="I70" i="19" l="1"/>
  <c r="J71" i="19"/>
  <c r="G71" i="19" l="1"/>
  <c r="H71" i="19" s="1"/>
  <c r="I71" i="19" l="1"/>
  <c r="J72" i="19"/>
  <c r="G72" i="19" l="1"/>
  <c r="H72" i="19" s="1"/>
  <c r="I72" i="19" l="1"/>
  <c r="J73" i="19"/>
  <c r="G73" i="19" l="1"/>
  <c r="H73" i="19" s="1"/>
  <c r="I73" i="19" l="1"/>
  <c r="J74" i="19"/>
  <c r="G74" i="19" l="1"/>
  <c r="H74" i="19" s="1"/>
  <c r="I74" i="19" l="1"/>
  <c r="J75" i="19"/>
  <c r="G75" i="19" l="1"/>
  <c r="H75" i="19" s="1"/>
  <c r="I75" i="19" l="1"/>
  <c r="J76" i="19"/>
  <c r="G76" i="19" l="1"/>
  <c r="H76" i="19" s="1"/>
  <c r="J77" i="19" l="1"/>
  <c r="I76" i="19"/>
  <c r="G77" i="19" l="1"/>
  <c r="H77" i="19" s="1"/>
  <c r="I77" i="19" l="1"/>
  <c r="J78" i="19"/>
  <c r="G78" i="19" l="1"/>
  <c r="H78" i="19" s="1"/>
  <c r="I78" i="19" l="1"/>
  <c r="J79" i="19"/>
  <c r="G79" i="19" l="1"/>
  <c r="H79" i="19" s="1"/>
  <c r="J80" i="19" l="1"/>
  <c r="I79" i="19"/>
  <c r="G80" i="19" l="1"/>
  <c r="H80" i="19" s="1"/>
  <c r="I80" i="19" l="1"/>
  <c r="J81" i="19"/>
  <c r="G81" i="19" l="1"/>
  <c r="H81" i="19" s="1"/>
  <c r="I81" i="19" l="1"/>
  <c r="J82" i="19"/>
  <c r="G82" i="19" l="1"/>
  <c r="H82" i="19" s="1"/>
  <c r="J83" i="19" l="1"/>
  <c r="I82" i="19"/>
  <c r="G83" i="19" l="1"/>
  <c r="H83" i="19" s="1"/>
  <c r="I83" i="19" l="1"/>
  <c r="J84" i="19"/>
  <c r="G84" i="19" l="1"/>
  <c r="H84" i="19" s="1"/>
  <c r="I84" i="19" l="1"/>
  <c r="J85" i="19"/>
  <c r="G85" i="19" l="1"/>
  <c r="H85" i="19" s="1"/>
  <c r="I85" i="19" l="1"/>
  <c r="J86" i="19"/>
  <c r="G86" i="19" l="1"/>
  <c r="H86" i="19" s="1"/>
  <c r="I86" i="19" l="1"/>
  <c r="J87" i="19"/>
  <c r="G87" i="19" l="1"/>
  <c r="H87" i="19" s="1"/>
  <c r="J88" i="19" l="1"/>
  <c r="I87" i="19"/>
  <c r="G88" i="19" l="1"/>
  <c r="H88" i="19" s="1"/>
  <c r="I88" i="19" l="1"/>
  <c r="J89" i="19"/>
  <c r="G89" i="19" l="1"/>
  <c r="H89" i="19" s="1"/>
  <c r="I89" i="19" l="1"/>
  <c r="J90" i="19"/>
  <c r="G90" i="19" l="1"/>
  <c r="H90" i="19" s="1"/>
  <c r="I90" i="19" l="1"/>
  <c r="J91" i="19"/>
  <c r="G91" i="19" l="1"/>
  <c r="H91" i="19" s="1"/>
  <c r="J92" i="19" l="1"/>
  <c r="I91" i="19"/>
  <c r="G92" i="19" l="1"/>
  <c r="H92" i="19" s="1"/>
  <c r="I92" i="19" l="1"/>
  <c r="J93" i="19"/>
  <c r="G93" i="19" l="1"/>
  <c r="H93" i="19" s="1"/>
  <c r="I93" i="19" l="1"/>
  <c r="J94" i="19"/>
  <c r="G94" i="19" l="1"/>
  <c r="H94" i="19" s="1"/>
  <c r="I94" i="19" l="1"/>
  <c r="J95" i="19"/>
  <c r="G95" i="19" l="1"/>
  <c r="H95" i="19" s="1"/>
  <c r="I95" i="19" l="1"/>
  <c r="J96" i="19"/>
  <c r="G96" i="19" l="1"/>
  <c r="H96" i="19" s="1"/>
  <c r="I96" i="19" l="1"/>
  <c r="J97" i="19"/>
  <c r="G97" i="19" l="1"/>
  <c r="H97" i="19" s="1"/>
  <c r="I97" i="19" l="1"/>
  <c r="J98" i="19"/>
  <c r="G98" i="19" l="1"/>
  <c r="H98" i="19" s="1"/>
  <c r="J99" i="19" l="1"/>
  <c r="I98" i="19"/>
  <c r="G99" i="19" l="1"/>
  <c r="H99" i="19" s="1"/>
  <c r="J100" i="19" l="1"/>
  <c r="I99" i="19"/>
  <c r="G100" i="19" l="1"/>
  <c r="H100" i="19" s="1"/>
  <c r="I100" i="19" l="1"/>
  <c r="J101" i="19"/>
  <c r="G101" i="19" l="1"/>
  <c r="H101" i="19" s="1"/>
  <c r="I101" i="19" l="1"/>
  <c r="J102" i="19"/>
  <c r="G102" i="19" l="1"/>
  <c r="H102" i="19" s="1"/>
  <c r="I102" i="19" l="1"/>
  <c r="J103" i="19"/>
  <c r="G103" i="19" l="1"/>
  <c r="H103" i="19" s="1"/>
  <c r="I103" i="19" l="1"/>
  <c r="J104" i="19"/>
  <c r="G104" i="19" l="1"/>
  <c r="H104" i="19" s="1"/>
  <c r="I104" i="19" l="1"/>
  <c r="J105" i="19"/>
  <c r="G105" i="19" l="1"/>
  <c r="H105" i="19" s="1"/>
  <c r="I105" i="19" l="1"/>
  <c r="J106" i="19"/>
  <c r="G106" i="19" l="1"/>
  <c r="H106" i="19" s="1"/>
  <c r="I106" i="19" l="1"/>
  <c r="J107" i="19"/>
  <c r="G107" i="19" l="1"/>
  <c r="H107" i="19" s="1"/>
  <c r="I107" i="19" l="1"/>
  <c r="J108" i="19"/>
  <c r="G108" i="19" l="1"/>
  <c r="H108" i="19" s="1"/>
  <c r="I108" i="19" l="1"/>
  <c r="J109" i="19"/>
  <c r="G109" i="19" l="1"/>
  <c r="H109" i="19" s="1"/>
  <c r="I109" i="19" l="1"/>
  <c r="J110" i="19"/>
  <c r="G110" i="19" l="1"/>
  <c r="H110" i="19" s="1"/>
  <c r="I110" i="19" l="1"/>
  <c r="J111" i="19"/>
  <c r="G111" i="19" l="1"/>
  <c r="H111" i="19" s="1"/>
  <c r="I111" i="19" l="1"/>
  <c r="J112" i="19"/>
  <c r="G112" i="19" l="1"/>
  <c r="H112" i="19" s="1"/>
  <c r="I112" i="19" l="1"/>
  <c r="J113" i="19"/>
  <c r="G113" i="19" l="1"/>
  <c r="H113" i="19" s="1"/>
  <c r="I113" i="19" l="1"/>
  <c r="J114" i="19"/>
  <c r="G114" i="19" l="1"/>
  <c r="H114" i="19" s="1"/>
  <c r="I114" i="19" l="1"/>
  <c r="J115" i="19"/>
  <c r="G115" i="19" l="1"/>
  <c r="H115" i="19" s="1"/>
  <c r="I115" i="19" l="1"/>
  <c r="J116" i="19"/>
  <c r="G116" i="19" l="1"/>
  <c r="H116" i="19" s="1"/>
  <c r="I116" i="19" l="1"/>
  <c r="J117" i="19"/>
  <c r="G117" i="19" l="1"/>
  <c r="H117" i="19" s="1"/>
  <c r="I117" i="19" l="1"/>
  <c r="J118" i="19"/>
  <c r="G118" i="19" l="1"/>
  <c r="H118" i="19" s="1"/>
  <c r="I118" i="19" l="1"/>
  <c r="J119" i="19"/>
  <c r="G119" i="19" l="1"/>
  <c r="H119" i="19" s="1"/>
  <c r="I119" i="19" l="1"/>
  <c r="J120" i="19"/>
  <c r="G120" i="19" l="1"/>
  <c r="H120" i="19" s="1"/>
  <c r="I120" i="19" l="1"/>
  <c r="J121" i="19"/>
  <c r="G121" i="19" l="1"/>
  <c r="H121" i="19" s="1"/>
  <c r="I121" i="19" l="1"/>
  <c r="J122" i="19"/>
  <c r="G122" i="19" l="1"/>
  <c r="H122" i="19" s="1"/>
  <c r="I122" i="19" l="1"/>
  <c r="J123" i="19"/>
  <c r="G123" i="19" l="1"/>
  <c r="H123" i="19" s="1"/>
  <c r="I123" i="19" l="1"/>
  <c r="J124" i="19"/>
  <c r="G124" i="19" l="1"/>
  <c r="H124" i="19" s="1"/>
  <c r="I124" i="19" l="1"/>
  <c r="J125" i="19"/>
  <c r="G125" i="19" l="1"/>
  <c r="H125" i="19" s="1"/>
  <c r="I125" i="19" l="1"/>
  <c r="J126" i="19"/>
  <c r="G126" i="19" l="1"/>
  <c r="H126" i="19" s="1"/>
  <c r="I126" i="19" l="1"/>
  <c r="J127" i="19"/>
  <c r="G127" i="19" l="1"/>
  <c r="H127" i="19" s="1"/>
  <c r="I127" i="19" l="1"/>
  <c r="J128" i="19"/>
  <c r="G128" i="19" l="1"/>
  <c r="H128" i="19" s="1"/>
  <c r="I128" i="19" l="1"/>
  <c r="J129" i="19"/>
  <c r="G129" i="19" l="1"/>
  <c r="H129" i="19" s="1"/>
  <c r="I129" i="19" l="1"/>
  <c r="J130" i="19"/>
  <c r="G130" i="19" l="1"/>
  <c r="H130" i="19" s="1"/>
  <c r="I130" i="19" l="1"/>
  <c r="J131" i="19"/>
  <c r="G131" i="19" l="1"/>
  <c r="H131" i="19" s="1"/>
  <c r="I131" i="19" l="1"/>
  <c r="J132" i="19"/>
  <c r="G132" i="19" l="1"/>
  <c r="H132" i="19" s="1"/>
  <c r="I132" i="19" l="1"/>
  <c r="J133" i="19"/>
  <c r="G133" i="19" l="1"/>
  <c r="H133" i="19" s="1"/>
  <c r="I133" i="19" l="1"/>
  <c r="J134" i="19"/>
  <c r="G134" i="19" l="1"/>
  <c r="H134" i="19" s="1"/>
  <c r="I134" i="19" l="1"/>
  <c r="J135" i="19"/>
  <c r="G135" i="19" l="1"/>
  <c r="H135" i="19" s="1"/>
  <c r="I135" i="19" l="1"/>
  <c r="J136" i="19"/>
  <c r="G136" i="19" l="1"/>
  <c r="H136" i="19" s="1"/>
  <c r="I136" i="19" l="1"/>
  <c r="J137" i="19"/>
  <c r="G137" i="19" l="1"/>
  <c r="H137" i="19" s="1"/>
  <c r="I137" i="19" l="1"/>
  <c r="J138" i="19"/>
  <c r="G138" i="19" l="1"/>
  <c r="H138" i="19" s="1"/>
  <c r="I138" i="19" l="1"/>
  <c r="J139" i="19"/>
  <c r="G139" i="19" l="1"/>
  <c r="H139" i="19" s="1"/>
  <c r="I139" i="19" l="1"/>
  <c r="J140" i="19" l="1"/>
  <c r="P37" i="19" s="1"/>
  <c r="G140" i="19"/>
  <c r="H140" i="19" s="1"/>
  <c r="P35" i="19" s="1"/>
  <c r="I140" i="19" l="1"/>
  <c r="P36" i="19" s="1"/>
  <c r="J141" i="19" l="1"/>
  <c r="G141" i="19"/>
  <c r="H141" i="19" l="1"/>
  <c r="J142" i="19"/>
  <c r="I141" i="19" l="1"/>
  <c r="J143" i="19"/>
  <c r="G142" i="19"/>
  <c r="H142" i="19" l="1"/>
  <c r="J144" i="19"/>
  <c r="G143" i="19"/>
  <c r="H143" i="19" s="1"/>
  <c r="I142" i="19" l="1"/>
  <c r="I143" i="19"/>
  <c r="J145" i="19"/>
  <c r="G144" i="19"/>
  <c r="H144" i="19" s="1"/>
  <c r="I144" i="19" l="1"/>
  <c r="J146" i="19"/>
  <c r="G145" i="19"/>
  <c r="H145" i="19" s="1"/>
  <c r="I145" i="19" l="1"/>
  <c r="J147" i="19"/>
  <c r="G146" i="19"/>
  <c r="H146" i="19" s="1"/>
  <c r="I146" i="19" l="1"/>
  <c r="J148" i="19"/>
  <c r="G147" i="19"/>
  <c r="H147" i="19" s="1"/>
  <c r="I147" i="19" l="1"/>
  <c r="J149" i="19"/>
  <c r="G148" i="19"/>
  <c r="H148" i="19" s="1"/>
  <c r="J150" i="19" l="1"/>
  <c r="G149" i="19"/>
  <c r="H149" i="19" s="1"/>
  <c r="I148" i="19"/>
  <c r="I149" i="19" l="1"/>
  <c r="J151" i="19"/>
  <c r="G150" i="19"/>
  <c r="H150" i="19" s="1"/>
  <c r="I150" i="19" l="1"/>
  <c r="J152" i="19"/>
  <c r="G151" i="19"/>
  <c r="H151" i="19" s="1"/>
  <c r="I151" i="19" l="1"/>
  <c r="J153" i="19"/>
  <c r="G152" i="19"/>
  <c r="H152" i="19" s="1"/>
  <c r="I152" i="19" l="1"/>
  <c r="J154" i="19"/>
  <c r="G153" i="19"/>
  <c r="H153" i="19" s="1"/>
  <c r="I153" i="19" l="1"/>
  <c r="J155" i="19"/>
  <c r="G154" i="19"/>
  <c r="H154" i="19" s="1"/>
  <c r="I154" i="19" l="1"/>
  <c r="J156" i="19"/>
  <c r="G155" i="19"/>
  <c r="H155" i="19" s="1"/>
  <c r="I155" i="19" l="1"/>
  <c r="J157" i="19"/>
  <c r="G156" i="19"/>
  <c r="H156" i="19" s="1"/>
  <c r="I156" i="19" l="1"/>
  <c r="J158" i="19"/>
  <c r="G157" i="19"/>
  <c r="H157" i="19" s="1"/>
  <c r="I157" i="19" l="1"/>
  <c r="J159" i="19"/>
  <c r="G158" i="19"/>
  <c r="H158" i="19" s="1"/>
  <c r="I158" i="19" l="1"/>
  <c r="J160" i="19"/>
  <c r="G159" i="19"/>
  <c r="H159" i="19" s="1"/>
  <c r="I159" i="19" l="1"/>
  <c r="J161" i="19"/>
  <c r="G160" i="19"/>
  <c r="H160" i="19" s="1"/>
  <c r="I160" i="19" l="1"/>
  <c r="J162" i="19"/>
  <c r="G161" i="19"/>
  <c r="H161" i="19" s="1"/>
  <c r="I161" i="19" l="1"/>
  <c r="J163" i="19"/>
  <c r="G162" i="19"/>
  <c r="H162" i="19" s="1"/>
  <c r="I162" i="19" l="1"/>
  <c r="J164" i="19"/>
  <c r="G163" i="19"/>
  <c r="H163" i="19" s="1"/>
  <c r="I163" i="19" l="1"/>
  <c r="J165" i="19"/>
  <c r="G164" i="19"/>
  <c r="H164" i="19" s="1"/>
  <c r="I164" i="19" l="1"/>
  <c r="J166" i="19"/>
  <c r="G165" i="19"/>
  <c r="H165" i="19" s="1"/>
  <c r="I165" i="19" l="1"/>
  <c r="J167" i="19"/>
  <c r="G166" i="19"/>
  <c r="H166" i="19" s="1"/>
  <c r="I166" i="19" l="1"/>
  <c r="J168" i="19"/>
  <c r="G167" i="19"/>
  <c r="H167" i="19" s="1"/>
  <c r="I167" i="19" l="1"/>
  <c r="J169" i="19"/>
  <c r="G168" i="19"/>
  <c r="H168" i="19" s="1"/>
  <c r="I168" i="19" l="1"/>
  <c r="G169" i="19"/>
  <c r="H169" i="19" s="1"/>
  <c r="J170" i="19" l="1"/>
  <c r="G170" i="19"/>
  <c r="H170" i="19" s="1"/>
  <c r="I169" i="19"/>
  <c r="J171" i="19"/>
  <c r="I170" i="19" l="1"/>
  <c r="J172" i="19"/>
  <c r="G171" i="19"/>
  <c r="H171" i="19" s="1"/>
  <c r="I171" i="19" l="1"/>
  <c r="J173" i="19"/>
  <c r="G172" i="19"/>
  <c r="H172" i="19" s="1"/>
  <c r="I172" i="19" l="1"/>
  <c r="J174" i="19"/>
  <c r="P42" i="19" s="1"/>
  <c r="G173" i="19"/>
  <c r="H173" i="19" s="1"/>
  <c r="I173" i="19" l="1"/>
  <c r="G174" i="19"/>
  <c r="P47" i="19" s="1"/>
  <c r="P51" i="19" s="1"/>
  <c r="H174" i="19" l="1"/>
  <c r="N9" i="19" s="1"/>
  <c r="G5" i="20" l="1"/>
  <c r="G6" i="20"/>
  <c r="G7" i="20"/>
  <c r="G8" i="20"/>
  <c r="P40" i="19"/>
  <c r="P46" i="19" s="1"/>
  <c r="I174" i="19"/>
  <c r="P52" i="19"/>
  <c r="G177" i="19"/>
  <c r="H177" i="19" s="1"/>
  <c r="I177" i="19" s="1"/>
  <c r="G176" i="19"/>
  <c r="P41" i="19" l="1"/>
  <c r="N10" i="19"/>
  <c r="F5" i="20"/>
  <c r="I5" i="20" s="1"/>
  <c r="F6" i="20"/>
  <c r="I6" i="20" s="1"/>
  <c r="F7" i="20"/>
  <c r="I7" i="20" s="1"/>
  <c r="F8" i="20"/>
  <c r="I8" i="20" s="1"/>
  <c r="G175" i="19"/>
  <c r="H175" i="19" s="1"/>
  <c r="I175" i="19" s="1"/>
  <c r="H176" i="19"/>
  <c r="I176" i="19" s="1"/>
  <c r="G178" i="19"/>
  <c r="H178" i="19" s="1"/>
  <c r="I178" i="19" s="1"/>
  <c r="D7" i="20"/>
  <c r="E7" i="20" s="1"/>
  <c r="H5" i="20" l="1"/>
  <c r="D5" i="20"/>
  <c r="E5" i="20" s="1"/>
  <c r="D8" i="20"/>
  <c r="E8" i="20" s="1"/>
  <c r="H7" i="20"/>
  <c r="D6" i="20"/>
  <c r="E6" i="20" s="1"/>
  <c r="E10" i="20" l="1"/>
  <c r="E13" i="20" s="1"/>
  <c r="H6" i="20"/>
  <c r="H8" i="20"/>
  <c r="H10" i="20" l="1"/>
  <c r="E14" i="20" s="1"/>
  <c r="I10" i="20"/>
  <c r="E15" i="20" s="1"/>
  <c r="E17" i="20" l="1"/>
</calcChain>
</file>

<file path=xl/sharedStrings.xml><?xml version="1.0" encoding="utf-8"?>
<sst xmlns="http://schemas.openxmlformats.org/spreadsheetml/2006/main" count="101" uniqueCount="97">
  <si>
    <t>My Triple Exp Smoothing Results</t>
  </si>
  <si>
    <t>Is Demand</t>
  </si>
  <si>
    <t>outside CI?</t>
  </si>
  <si>
    <t>Period</t>
  </si>
  <si>
    <t>Actual</t>
  </si>
  <si>
    <t>Forecast</t>
  </si>
  <si>
    <t>Error</t>
  </si>
  <si>
    <t>ABS(Error)</t>
  </si>
  <si>
    <t>Lower Conf Int</t>
  </si>
  <si>
    <t>Higer Conf Int</t>
  </si>
  <si>
    <t>Gap</t>
  </si>
  <si>
    <t>1=Y  0=N</t>
  </si>
  <si>
    <t>Totals</t>
  </si>
  <si>
    <t>Total Absolute Error</t>
  </si>
  <si>
    <t>Total CI Gap</t>
  </si>
  <si>
    <t>Number of times outside CI * 10,000,000</t>
  </si>
  <si>
    <t>Total Score</t>
  </si>
  <si>
    <t>Lt</t>
  </si>
  <si>
    <t>Tt</t>
  </si>
  <si>
    <t>St</t>
  </si>
  <si>
    <t>Ft</t>
  </si>
  <si>
    <t>Alpha</t>
  </si>
  <si>
    <t>Base smoothing constant</t>
  </si>
  <si>
    <t>Week</t>
  </si>
  <si>
    <t>Demand</t>
  </si>
  <si>
    <t>SmLevel</t>
  </si>
  <si>
    <t>SmTrend</t>
  </si>
  <si>
    <t>Sm Seas</t>
  </si>
  <si>
    <t>Abs Error</t>
  </si>
  <si>
    <t>Squared Error</t>
  </si>
  <si>
    <t>Percentage Error</t>
  </si>
  <si>
    <t>Beta</t>
  </si>
  <si>
    <t>Trend smoothing constant</t>
  </si>
  <si>
    <t>Average Salwes</t>
  </si>
  <si>
    <t>Gamma</t>
  </si>
  <si>
    <t>Seasonal smoothing constant</t>
  </si>
  <si>
    <t>SUMMARY OUTPUT</t>
  </si>
  <si>
    <t>M</t>
  </si>
  <si>
    <t>Number of periods in a season</t>
  </si>
  <si>
    <t>k</t>
  </si>
  <si>
    <t>1-4</t>
  </si>
  <si>
    <t>Number of periods to forecast for in the future</t>
  </si>
  <si>
    <t>Regression Statistics</t>
  </si>
  <si>
    <t>Multiple R</t>
  </si>
  <si>
    <t>R Square</t>
  </si>
  <si>
    <t>Performance measures over all forecasts</t>
  </si>
  <si>
    <t>Adjusted R Square</t>
  </si>
  <si>
    <t>MAE</t>
  </si>
  <si>
    <t>Standard Error</t>
  </si>
  <si>
    <t>RMSE</t>
  </si>
  <si>
    <t>Observations</t>
  </si>
  <si>
    <t>R-squared</t>
  </si>
  <si>
    <t>ANOVA</t>
  </si>
  <si>
    <t>df</t>
  </si>
  <si>
    <t>SS</t>
  </si>
  <si>
    <t>MS</t>
  </si>
  <si>
    <t>F</t>
  </si>
  <si>
    <t>Significance F</t>
  </si>
  <si>
    <t>Regression</t>
  </si>
  <si>
    <t>Residual</t>
  </si>
  <si>
    <t>Total</t>
  </si>
  <si>
    <t>Coefficients</t>
  </si>
  <si>
    <t>t Stat</t>
  </si>
  <si>
    <t>P-value</t>
  </si>
  <si>
    <t>Lower 95%</t>
  </si>
  <si>
    <t>Upper 95%</t>
  </si>
  <si>
    <t>Lower 95.0%</t>
  </si>
  <si>
    <t>Upper 95.0%</t>
  </si>
  <si>
    <t>Intercept</t>
  </si>
  <si>
    <t>X Variable 1</t>
  </si>
  <si>
    <t>RESIDUAL OUTPUT</t>
  </si>
  <si>
    <t>PROBABILITY OUTPUT</t>
  </si>
  <si>
    <t>Observation</t>
  </si>
  <si>
    <t>Predicted Y</t>
  </si>
  <si>
    <t>Residuals</t>
  </si>
  <si>
    <t>Standard Residuals</t>
  </si>
  <si>
    <t>Percentile</t>
  </si>
  <si>
    <t>Y</t>
  </si>
  <si>
    <t>MAE for Estimation data</t>
  </si>
  <si>
    <t>MSE for Estimation data</t>
  </si>
  <si>
    <t>MAPE for Estimation data</t>
  </si>
  <si>
    <t>MAE for Holdout data</t>
  </si>
  <si>
    <t>MSE for Holdout data</t>
  </si>
  <si>
    <t>MAPE for Holdout data</t>
  </si>
  <si>
    <t>Holdout data Average Error</t>
  </si>
  <si>
    <t>Holdout data Standard Deviation for Error</t>
  </si>
  <si>
    <t>σ</t>
  </si>
  <si>
    <t>Number of Data points in Sample</t>
  </si>
  <si>
    <t>n</t>
  </si>
  <si>
    <t>z-statistic for 95% confidence interval</t>
  </si>
  <si>
    <t>z</t>
  </si>
  <si>
    <t>Upper xx% Limit</t>
  </si>
  <si>
    <t>Forecast plus</t>
  </si>
  <si>
    <t>z*σ</t>
  </si>
  <si>
    <t>Lower xx% Limit</t>
  </si>
  <si>
    <t>Forecast minus</t>
  </si>
  <si>
    <t xml:space="preserve"> - z*σ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</si>
</sst>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5" formatCode="[$-409]mmm\-yy;@"/>
    <numFmt numFmtId="166" formatCode="_(* #,##0_);_(* \(#,##0\);_(* &quot;-&quot;??_);_(@_)"/>
    <numFmt numFmtId="167" formatCode="0.000"/>
    <numFmt numFmtId="168" formatCode="0.0000"/>
  </numFmts>
  <fonts count="19" x14ac:knownFonts="1">
    <font>
      <sz val="11"/>
      <color indexed="8"/>
      <name val="Calibri"/>
    </font>
    <font>
      <sz val="11"/>
      <color theme="1"/>
      <name val="Calibri"/>
      <family val="2"/>
      <scheme val="minor"/>
    </font>
    <font>
      <sz val="11"/>
      <color theme="1"/>
      <name val="Calibri"/>
      <family val="2"/>
      <scheme val="minor"/>
    </font>
    <font>
      <sz val="11"/>
      <color indexed="8"/>
      <name val="Calibri"/>
      <family val="2"/>
    </font>
    <font>
      <sz val="11"/>
      <color theme="1"/>
      <name val="Garamond"/>
      <family val="1"/>
    </font>
    <font>
      <sz val="11"/>
      <color rgb="FF000000"/>
      <name val="Garamond"/>
      <family val="1"/>
    </font>
    <font>
      <sz val="10"/>
      <name val="Arial"/>
      <family val="2"/>
    </font>
    <font>
      <b/>
      <sz val="11"/>
      <color theme="1"/>
      <name val="Garamond"/>
      <family val="1"/>
    </font>
    <font>
      <sz val="12"/>
      <color rgb="FF000000"/>
      <name val="Garamond"/>
      <family val="1"/>
    </font>
    <font>
      <sz val="11"/>
      <color theme="1"/>
      <name val="Calibri"/>
      <family val="2"/>
    </font>
    <font>
      <b/>
      <sz val="11"/>
      <color theme="1"/>
      <name val="Calibri"/>
      <family val="2"/>
    </font>
    <font>
      <b/>
      <sz val="11"/>
      <color theme="1"/>
      <name val="Calibri"/>
      <family val="2"/>
      <scheme val="minor"/>
    </font>
    <font>
      <sz val="11"/>
      <color indexed="8"/>
      <name val="Calibri"/>
      <family val="2"/>
    </font>
    <font>
      <sz val="11"/>
      <color indexed="8"/>
      <name val="Calibri"/>
      <family val="2"/>
    </font>
    <font>
      <i/>
      <sz val="11"/>
      <color theme="1"/>
      <name val="Garamond"/>
      <family val="1"/>
    </font>
    <font>
      <i/>
      <sz val="11"/>
      <color indexed="8"/>
      <name val="Calibri"/>
      <family val="2"/>
    </font>
    <font>
      <sz val="11"/>
      <color rgb="FF000000"/>
      <name val="Calibri"/>
      <family val="2"/>
    </font>
    <font>
      <sz val="11"/>
      <color rgb="FFFF0000"/>
      <name val="Calibri"/>
      <family val="2"/>
    </font>
    <font>
      <b/>
      <sz val="11"/>
      <color rgb="FFFF0000"/>
      <name val="Calibri"/>
      <family val="2"/>
    </font>
  </fonts>
  <fills count="11">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6" tint="0.59999389629810485"/>
        <bgColor indexed="64"/>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59999389629810485"/>
        <bgColor indexed="64"/>
      </patternFill>
    </fill>
  </fills>
  <borders count="14">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right/>
      <top style="medium">
        <color indexed="64"/>
      </top>
      <bottom style="thin">
        <color indexed="64"/>
      </bottom>
      <diagonal/>
    </border>
  </borders>
  <cellStyleXfs count="7">
    <xf numFmtId="0" fontId="0" fillId="0" borderId="0" applyFill="0" applyProtection="0"/>
    <xf numFmtId="0" fontId="2" fillId="0" borderId="0"/>
    <xf numFmtId="43" fontId="12" fillId="0" borderId="0" applyFont="0" applyFill="0" applyBorder="0" applyAlignment="0" applyProtection="0"/>
    <xf numFmtId="9" fontId="13" fillId="0" borderId="0" applyFont="0" applyFill="0" applyBorder="0" applyAlignment="0" applyProtection="0"/>
    <xf numFmtId="0" fontId="3" fillId="0" borderId="0" applyFill="0" applyProtection="0"/>
    <xf numFmtId="43" fontId="3" fillId="0" borderId="0" applyFont="0" applyFill="0" applyBorder="0" applyAlignment="0" applyProtection="0"/>
    <xf numFmtId="0" fontId="1" fillId="0" borderId="0"/>
  </cellStyleXfs>
  <cellXfs count="105">
    <xf numFmtId="0" fontId="0" fillId="0" borderId="0" xfId="0" applyFill="1" applyProtection="1"/>
    <xf numFmtId="0" fontId="4" fillId="0" borderId="0" xfId="1" applyFont="1" applyAlignment="1">
      <alignment horizontal="center" vertical="center"/>
    </xf>
    <xf numFmtId="0" fontId="4" fillId="0" borderId="0" xfId="1" applyFont="1" applyAlignment="1">
      <alignment vertical="center"/>
    </xf>
    <xf numFmtId="0" fontId="2" fillId="0" borderId="0" xfId="1"/>
    <xf numFmtId="0" fontId="6" fillId="0" borderId="0" xfId="1" applyFont="1"/>
    <xf numFmtId="0" fontId="6" fillId="0" borderId="0" xfId="1" applyFont="1" applyAlignment="1">
      <alignment horizontal="center"/>
    </xf>
    <xf numFmtId="0" fontId="2" fillId="0" borderId="0" xfId="1" applyAlignment="1">
      <alignment horizontal="center"/>
    </xf>
    <xf numFmtId="1" fontId="4" fillId="0" borderId="0" xfId="1" applyNumberFormat="1" applyFont="1" applyAlignment="1">
      <alignment horizontal="center" vertical="center"/>
    </xf>
    <xf numFmtId="1" fontId="2" fillId="0" borderId="0" xfId="1" applyNumberFormat="1"/>
    <xf numFmtId="1" fontId="2" fillId="3" borderId="0" xfId="1" applyNumberFormat="1" applyFill="1"/>
    <xf numFmtId="165" fontId="4" fillId="0" borderId="0" xfId="1" applyNumberFormat="1" applyFont="1" applyAlignment="1">
      <alignment horizontal="center" vertical="center"/>
    </xf>
    <xf numFmtId="2" fontId="4" fillId="0" borderId="0" xfId="1" applyNumberFormat="1" applyFont="1" applyAlignment="1">
      <alignment horizontal="center" vertical="center" wrapText="1"/>
    </xf>
    <xf numFmtId="2" fontId="4" fillId="0" borderId="0" xfId="1" applyNumberFormat="1" applyFont="1" applyAlignment="1">
      <alignment horizontal="center" vertical="center"/>
    </xf>
    <xf numFmtId="2" fontId="4" fillId="2" borderId="2" xfId="1" applyNumberFormat="1" applyFont="1" applyFill="1" applyBorder="1" applyAlignment="1">
      <alignment horizontal="center" vertical="center"/>
    </xf>
    <xf numFmtId="2" fontId="4" fillId="2" borderId="3" xfId="1" applyNumberFormat="1" applyFont="1" applyFill="1" applyBorder="1" applyAlignment="1">
      <alignment horizontal="center" vertical="center"/>
    </xf>
    <xf numFmtId="2" fontId="4" fillId="0" borderId="4" xfId="1" applyNumberFormat="1" applyFont="1" applyBorder="1" applyAlignment="1">
      <alignment horizontal="center" vertical="center"/>
    </xf>
    <xf numFmtId="2" fontId="4" fillId="2" borderId="5" xfId="1" applyNumberFormat="1" applyFont="1" applyFill="1" applyBorder="1" applyAlignment="1">
      <alignment horizontal="center" vertical="center"/>
    </xf>
    <xf numFmtId="2" fontId="4" fillId="2" borderId="0" xfId="1" applyNumberFormat="1" applyFont="1" applyFill="1" applyAlignment="1">
      <alignment horizontal="center" vertical="center"/>
    </xf>
    <xf numFmtId="2" fontId="4" fillId="0" borderId="6" xfId="1" applyNumberFormat="1" applyFont="1" applyBorder="1" applyAlignment="1">
      <alignment horizontal="center" vertical="center"/>
    </xf>
    <xf numFmtId="2" fontId="4" fillId="2" borderId="7" xfId="1" applyNumberFormat="1" applyFont="1" applyFill="1" applyBorder="1" applyAlignment="1">
      <alignment horizontal="center" vertical="center"/>
    </xf>
    <xf numFmtId="2" fontId="4" fillId="0" borderId="8" xfId="1" applyNumberFormat="1" applyFont="1" applyBorder="1" applyAlignment="1">
      <alignment horizontal="center" vertical="center"/>
    </xf>
    <xf numFmtId="2" fontId="7" fillId="0" borderId="0" xfId="1" applyNumberFormat="1" applyFont="1" applyAlignment="1">
      <alignment horizontal="center" vertical="center"/>
    </xf>
    <xf numFmtId="0" fontId="4" fillId="0" borderId="4" xfId="1" applyFont="1" applyBorder="1" applyAlignment="1">
      <alignment horizontal="center" vertical="center"/>
    </xf>
    <xf numFmtId="0" fontId="8" fillId="0" borderId="6" xfId="1" applyFont="1" applyBorder="1" applyAlignment="1">
      <alignment horizontal="center" vertical="center"/>
    </xf>
    <xf numFmtId="0" fontId="4" fillId="0" borderId="5" xfId="1" applyFont="1" applyBorder="1" applyAlignment="1">
      <alignment horizontal="center" vertical="center"/>
    </xf>
    <xf numFmtId="0" fontId="4" fillId="0" borderId="6" xfId="1" applyFont="1" applyBorder="1" applyAlignment="1">
      <alignment horizontal="center" vertical="center"/>
    </xf>
    <xf numFmtId="0" fontId="4" fillId="0" borderId="1" xfId="1" applyFont="1" applyBorder="1" applyAlignment="1">
      <alignment horizontal="center" vertical="center"/>
    </xf>
    <xf numFmtId="0" fontId="4" fillId="0" borderId="8" xfId="1" applyFont="1" applyBorder="1" applyAlignment="1">
      <alignment horizontal="center" vertical="center"/>
    </xf>
    <xf numFmtId="2" fontId="4" fillId="5" borderId="0" xfId="1" applyNumberFormat="1" applyFont="1" applyFill="1" applyAlignment="1">
      <alignment horizontal="center" vertical="center"/>
    </xf>
    <xf numFmtId="11" fontId="2" fillId="0" borderId="0" xfId="1" applyNumberFormat="1"/>
    <xf numFmtId="0" fontId="9" fillId="6" borderId="9" xfId="0" applyFont="1" applyFill="1" applyBorder="1"/>
    <xf numFmtId="0" fontId="9" fillId="0" borderId="9" xfId="0" applyFont="1" applyBorder="1"/>
    <xf numFmtId="0" fontId="10" fillId="0" borderId="11" xfId="0" applyFont="1" applyBorder="1"/>
    <xf numFmtId="4" fontId="9" fillId="0" borderId="10" xfId="0" applyNumberFormat="1" applyFont="1" applyBorder="1"/>
    <xf numFmtId="4" fontId="9" fillId="6" borderId="10" xfId="0" applyNumberFormat="1" applyFont="1" applyFill="1" applyBorder="1"/>
    <xf numFmtId="0" fontId="11" fillId="0" borderId="0" xfId="1" applyFont="1"/>
    <xf numFmtId="166" fontId="4" fillId="2" borderId="0" xfId="2" applyNumberFormat="1" applyFont="1" applyFill="1" applyBorder="1" applyAlignment="1">
      <alignment horizontal="center" vertical="center"/>
    </xf>
    <xf numFmtId="166" fontId="4" fillId="0" borderId="0" xfId="2" applyNumberFormat="1" applyFont="1" applyAlignment="1">
      <alignment horizontal="center" vertical="center"/>
    </xf>
    <xf numFmtId="0" fontId="14" fillId="0" borderId="0" xfId="0" applyFont="1" applyAlignment="1">
      <alignment horizontal="center" vertical="center"/>
    </xf>
    <xf numFmtId="166" fontId="14" fillId="0" borderId="0" xfId="2" applyNumberFormat="1" applyFont="1" applyAlignment="1">
      <alignment horizontal="center" vertical="center"/>
    </xf>
    <xf numFmtId="166" fontId="4" fillId="0" borderId="0" xfId="2" applyNumberFormat="1" applyFont="1" applyBorder="1" applyAlignment="1">
      <alignment horizontal="center" vertical="center"/>
    </xf>
    <xf numFmtId="0" fontId="10" fillId="6" borderId="9" xfId="0" applyFont="1" applyFill="1" applyBorder="1" applyAlignment="1">
      <alignment horizontal="left"/>
    </xf>
    <xf numFmtId="166" fontId="4" fillId="0" borderId="3" xfId="2" applyNumberFormat="1" applyFont="1" applyBorder="1" applyAlignment="1">
      <alignment horizontal="center" vertical="center"/>
    </xf>
    <xf numFmtId="166" fontId="4" fillId="0" borderId="1" xfId="2" applyNumberFormat="1" applyFont="1" applyBorder="1" applyAlignment="1">
      <alignment horizontal="center" vertical="center"/>
    </xf>
    <xf numFmtId="2" fontId="4" fillId="0" borderId="0" xfId="1" applyNumberFormat="1" applyFont="1" applyAlignment="1">
      <alignment horizontal="center"/>
    </xf>
    <xf numFmtId="167" fontId="4" fillId="0" borderId="0" xfId="1" applyNumberFormat="1" applyFont="1" applyAlignment="1">
      <alignment horizontal="center" vertical="center"/>
    </xf>
    <xf numFmtId="49" fontId="4" fillId="2" borderId="1" xfId="1" applyNumberFormat="1" applyFont="1" applyFill="1" applyBorder="1" applyAlignment="1">
      <alignment horizontal="center" vertical="center"/>
    </xf>
    <xf numFmtId="0" fontId="0" fillId="0" borderId="0" xfId="0"/>
    <xf numFmtId="14" fontId="0" fillId="0" borderId="0" xfId="0" applyNumberFormat="1"/>
    <xf numFmtId="3" fontId="4" fillId="7" borderId="4" xfId="2" applyNumberFormat="1" applyFont="1" applyFill="1" applyBorder="1" applyAlignment="1">
      <alignment horizontal="center"/>
    </xf>
    <xf numFmtId="3" fontId="4" fillId="7" borderId="6" xfId="2" applyNumberFormat="1" applyFont="1" applyFill="1" applyBorder="1" applyAlignment="1">
      <alignment horizontal="center"/>
    </xf>
    <xf numFmtId="3" fontId="4" fillId="8" borderId="4" xfId="2" applyNumberFormat="1" applyFont="1" applyFill="1" applyBorder="1" applyAlignment="1">
      <alignment horizontal="center"/>
    </xf>
    <xf numFmtId="3" fontId="4" fillId="8" borderId="6" xfId="2" applyNumberFormat="1" applyFont="1" applyFill="1" applyBorder="1" applyAlignment="1">
      <alignment horizontal="center"/>
    </xf>
    <xf numFmtId="10" fontId="4" fillId="8" borderId="8" xfId="3" applyNumberFormat="1" applyFont="1" applyFill="1" applyBorder="1" applyAlignment="1">
      <alignment horizontal="center"/>
    </xf>
    <xf numFmtId="166" fontId="4" fillId="0" borderId="0" xfId="2" applyNumberFormat="1" applyFont="1" applyFill="1" applyBorder="1" applyAlignment="1">
      <alignment horizontal="center" vertical="center"/>
    </xf>
    <xf numFmtId="22" fontId="0" fillId="0" borderId="0" xfId="0" applyNumberFormat="1"/>
    <xf numFmtId="3" fontId="4" fillId="0" borderId="0" xfId="2" applyNumberFormat="1" applyFont="1" applyFill="1" applyBorder="1" applyAlignment="1">
      <alignment horizontal="center"/>
    </xf>
    <xf numFmtId="10" fontId="4" fillId="7" borderId="8" xfId="3" applyNumberFormat="1" applyFont="1" applyFill="1" applyBorder="1" applyAlignment="1">
      <alignment horizontal="center"/>
    </xf>
    <xf numFmtId="14" fontId="0" fillId="0" borderId="0" xfId="0" applyNumberFormat="1" applyFill="1"/>
    <xf numFmtId="166" fontId="4" fillId="0" borderId="0" xfId="2" applyNumberFormat="1" applyFont="1" applyFill="1" applyAlignment="1">
      <alignment horizontal="center" vertical="center"/>
    </xf>
    <xf numFmtId="22" fontId="0" fillId="9" borderId="0" xfId="0" applyNumberFormat="1" applyFill="1"/>
    <xf numFmtId="166" fontId="4" fillId="9" borderId="0" xfId="2" applyNumberFormat="1" applyFont="1" applyFill="1" applyBorder="1" applyAlignment="1">
      <alignment horizontal="center" vertical="center"/>
    </xf>
    <xf numFmtId="2" fontId="4" fillId="9" borderId="0" xfId="1" applyNumberFormat="1" applyFont="1" applyFill="1" applyAlignment="1">
      <alignment horizontal="center" vertical="center"/>
    </xf>
    <xf numFmtId="166" fontId="4" fillId="9" borderId="0" xfId="2" applyNumberFormat="1" applyFont="1" applyFill="1" applyAlignment="1">
      <alignment horizontal="center" vertical="center"/>
    </xf>
    <xf numFmtId="1" fontId="4" fillId="9" borderId="0" xfId="1" applyNumberFormat="1" applyFont="1" applyFill="1" applyAlignment="1">
      <alignment horizontal="center" vertical="center"/>
    </xf>
    <xf numFmtId="0" fontId="0" fillId="0" borderId="1" xfId="0" applyFill="1" applyBorder="1" applyProtection="1"/>
    <xf numFmtId="0" fontId="15" fillId="0" borderId="13" xfId="0" applyFont="1" applyFill="1" applyBorder="1" applyAlignment="1" applyProtection="1">
      <alignment horizontal="center"/>
    </xf>
    <xf numFmtId="0" fontId="15" fillId="0" borderId="13" xfId="0" applyFont="1" applyFill="1" applyBorder="1" applyAlignment="1" applyProtection="1">
      <alignment horizontal="centerContinuous"/>
    </xf>
    <xf numFmtId="22" fontId="0" fillId="10" borderId="0" xfId="0" applyNumberFormat="1" applyFill="1"/>
    <xf numFmtId="166" fontId="4" fillId="10" borderId="0" xfId="2" applyNumberFormat="1" applyFont="1" applyFill="1" applyAlignment="1">
      <alignment horizontal="center" vertical="center"/>
    </xf>
    <xf numFmtId="2" fontId="4" fillId="10" borderId="0" xfId="1" applyNumberFormat="1" applyFont="1" applyFill="1" applyAlignment="1">
      <alignment horizontal="center" vertical="center"/>
    </xf>
    <xf numFmtId="1" fontId="4" fillId="10" borderId="0" xfId="1" applyNumberFormat="1" applyFont="1" applyFill="1" applyAlignment="1">
      <alignment horizontal="center" vertical="center"/>
    </xf>
    <xf numFmtId="166" fontId="0" fillId="10" borderId="0" xfId="2" applyNumberFormat="1" applyFont="1" applyFill="1"/>
    <xf numFmtId="166" fontId="0" fillId="9" borderId="0" xfId="2" applyNumberFormat="1" applyFont="1" applyFill="1"/>
    <xf numFmtId="2" fontId="5" fillId="0" borderId="0" xfId="0" applyNumberFormat="1" applyFont="1" applyFill="1" applyAlignment="1" applyProtection="1">
      <alignment horizontal="center" vertical="center"/>
    </xf>
    <xf numFmtId="22" fontId="0" fillId="0" borderId="0" xfId="0" applyNumberFormat="1" applyFill="1"/>
    <xf numFmtId="166" fontId="0" fillId="0" borderId="0" xfId="2" applyNumberFormat="1" applyFont="1" applyFill="1"/>
    <xf numFmtId="168" fontId="4" fillId="0" borderId="0" xfId="1" applyNumberFormat="1" applyFont="1" applyAlignment="1">
      <alignment horizontal="center" vertical="center"/>
    </xf>
    <xf numFmtId="168" fontId="4" fillId="10" borderId="0" xfId="1" applyNumberFormat="1" applyFont="1" applyFill="1" applyAlignment="1">
      <alignment horizontal="center" vertical="center"/>
    </xf>
    <xf numFmtId="166" fontId="4" fillId="10" borderId="0" xfId="2" applyNumberFormat="1" applyFont="1" applyFill="1" applyBorder="1" applyAlignment="1">
      <alignment horizontal="center" vertical="center"/>
    </xf>
    <xf numFmtId="168" fontId="4" fillId="9" borderId="0" xfId="1" applyNumberFormat="1" applyFont="1" applyFill="1" applyAlignment="1">
      <alignment horizontal="center" vertical="center"/>
    </xf>
    <xf numFmtId="0" fontId="16" fillId="0" borderId="0" xfId="0" applyFont="1" applyFill="1" applyProtection="1"/>
    <xf numFmtId="4" fontId="17" fillId="0" borderId="10" xfId="0" applyNumberFormat="1" applyFont="1" applyBorder="1"/>
    <xf numFmtId="4" fontId="17" fillId="6" borderId="10" xfId="0" applyNumberFormat="1" applyFont="1" applyFill="1" applyBorder="1"/>
    <xf numFmtId="4" fontId="18" fillId="0" borderId="12" xfId="0" applyNumberFormat="1" applyFont="1" applyBorder="1"/>
    <xf numFmtId="0" fontId="17" fillId="0" borderId="0" xfId="0" applyFont="1" applyFill="1" applyProtection="1"/>
    <xf numFmtId="0" fontId="17" fillId="0" borderId="1" xfId="0" applyFont="1" applyFill="1" applyBorder="1" applyProtection="1"/>
    <xf numFmtId="166" fontId="1" fillId="0" borderId="0" xfId="2" applyNumberFormat="1" applyFont="1"/>
    <xf numFmtId="166" fontId="1" fillId="2" borderId="0" xfId="2" applyNumberFormat="1" applyFont="1" applyFill="1"/>
    <xf numFmtId="166" fontId="1" fillId="0" borderId="0" xfId="2" applyNumberFormat="1" applyFont="1" applyFill="1"/>
    <xf numFmtId="166" fontId="1" fillId="0" borderId="0" xfId="2" applyNumberFormat="1" applyFont="1" applyFill="1" applyBorder="1"/>
    <xf numFmtId="166" fontId="1" fillId="3" borderId="0" xfId="2" applyNumberFormat="1" applyFont="1" applyFill="1" applyBorder="1"/>
    <xf numFmtId="166" fontId="1" fillId="4" borderId="0" xfId="2" applyNumberFormat="1" applyFont="1" applyFill="1" applyBorder="1"/>
    <xf numFmtId="0" fontId="4" fillId="0" borderId="5" xfId="1" applyFont="1" applyBorder="1" applyAlignment="1">
      <alignment horizontal="center" vertical="center"/>
    </xf>
    <xf numFmtId="0" fontId="4" fillId="0" borderId="0" xfId="1" applyFont="1" applyAlignment="1">
      <alignment horizontal="center" vertical="center"/>
    </xf>
    <xf numFmtId="0" fontId="4" fillId="0" borderId="7" xfId="1" applyFont="1" applyBorder="1" applyAlignment="1">
      <alignment horizontal="center" vertical="center"/>
    </xf>
    <xf numFmtId="0" fontId="4" fillId="0" borderId="1" xfId="1" applyFont="1" applyBorder="1" applyAlignment="1">
      <alignment horizontal="center" vertical="center"/>
    </xf>
    <xf numFmtId="2" fontId="4" fillId="0" borderId="2" xfId="1" applyNumberFormat="1" applyFont="1" applyBorder="1" applyAlignment="1">
      <alignment horizontal="center" vertical="center"/>
    </xf>
    <xf numFmtId="2" fontId="4" fillId="0" borderId="3" xfId="1" applyNumberFormat="1" applyFont="1" applyBorder="1" applyAlignment="1">
      <alignment horizontal="center" vertical="center"/>
    </xf>
    <xf numFmtId="2" fontId="4" fillId="0" borderId="5" xfId="1" applyNumberFormat="1" applyFont="1" applyBorder="1" applyAlignment="1">
      <alignment horizontal="center" vertical="center"/>
    </xf>
    <xf numFmtId="2" fontId="4" fillId="0" borderId="0" xfId="1" applyNumberFormat="1" applyFont="1" applyAlignment="1">
      <alignment horizontal="center" vertical="center"/>
    </xf>
    <xf numFmtId="2" fontId="4" fillId="0" borderId="7" xfId="1" applyNumberFormat="1" applyFont="1" applyBorder="1" applyAlignment="1">
      <alignment horizontal="center" vertical="center"/>
    </xf>
    <xf numFmtId="2" fontId="4" fillId="0" borderId="1" xfId="1" applyNumberFormat="1" applyFont="1" applyBorder="1" applyAlignment="1">
      <alignment horizontal="center" vertical="center"/>
    </xf>
    <xf numFmtId="0" fontId="4" fillId="0" borderId="2" xfId="1" applyFont="1" applyBorder="1" applyAlignment="1">
      <alignment horizontal="center" vertical="center"/>
    </xf>
    <xf numFmtId="0" fontId="4" fillId="0" borderId="3" xfId="1" applyFont="1" applyBorder="1" applyAlignment="1">
      <alignment horizontal="center" vertical="center"/>
    </xf>
  </cellXfs>
  <cellStyles count="7">
    <cellStyle name="Comma" xfId="2" builtinId="3"/>
    <cellStyle name="Comma 2" xfId="5" xr:uid="{00000000-0005-0000-0000-000001000000}"/>
    <cellStyle name="Normal" xfId="0" builtinId="0"/>
    <cellStyle name="Normal 2" xfId="1" xr:uid="{00000000-0005-0000-0000-000003000000}"/>
    <cellStyle name="Normal 2 2" xfId="6" xr:uid="{00000000-0005-0000-0000-000004000000}"/>
    <cellStyle name="Normal 3" xfId="4" xr:uid="{00000000-0005-0000-0000-000005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Actual vs. Forecast</a:t>
            </a:r>
          </a:p>
        </c:rich>
      </c:tx>
      <c:layout>
        <c:manualLayout>
          <c:xMode val="edge"/>
          <c:yMode val="edge"/>
          <c:x val="0.34575634567418206"/>
          <c:y val="3.7313432835820892E-2"/>
        </c:manualLayout>
      </c:layout>
      <c:overlay val="0"/>
      <c:spPr>
        <a:noFill/>
        <a:ln w="25400">
          <a:noFill/>
        </a:ln>
      </c:spPr>
    </c:title>
    <c:autoTitleDeleted val="0"/>
    <c:plotArea>
      <c:layout>
        <c:manualLayout>
          <c:layoutTarget val="inner"/>
          <c:xMode val="edge"/>
          <c:yMode val="edge"/>
          <c:x val="0.17578801271638669"/>
          <c:y val="0.25072099029837985"/>
          <c:w val="0.59204075980896276"/>
          <c:h val="0.5936611954191523"/>
        </c:manualLayout>
      </c:layout>
      <c:scatterChart>
        <c:scatterStyle val="smoothMarker"/>
        <c:varyColors val="0"/>
        <c:ser>
          <c:idx val="0"/>
          <c:order val="0"/>
          <c:tx>
            <c:v>Actuals</c:v>
          </c:tx>
          <c:spPr>
            <a:ln w="12700">
              <a:solidFill>
                <a:srgbClr val="000080"/>
              </a:solidFill>
              <a:prstDash val="solid"/>
            </a:ln>
          </c:spPr>
          <c:marker>
            <c:symbol val="diamond"/>
            <c:size val="5"/>
            <c:spPr>
              <a:solidFill>
                <a:srgbClr val="000080"/>
              </a:solidFill>
              <a:ln>
                <a:solidFill>
                  <a:srgbClr val="000080"/>
                </a:solidFill>
                <a:prstDash val="solid"/>
              </a:ln>
            </c:spPr>
          </c:marker>
          <c:xVal>
            <c:numRef>
              <c:f>'Final output'!$A$5:$A$8</c:f>
              <c:numCache>
                <c:formatCode>m/d/yy</c:formatCode>
                <c:ptCount val="4"/>
                <c:pt idx="0">
                  <c:v>0</c:v>
                </c:pt>
                <c:pt idx="1">
                  <c:v>0</c:v>
                </c:pt>
                <c:pt idx="2">
                  <c:v>0</c:v>
                </c:pt>
                <c:pt idx="3">
                  <c:v>0</c:v>
                </c:pt>
              </c:numCache>
            </c:numRef>
          </c:xVal>
          <c:yVal>
            <c:numRef>
              <c:f>'Final output'!$B$5:$B$8</c:f>
              <c:numCache>
                <c:formatCode>General</c:formatCode>
                <c:ptCount val="4"/>
              </c:numCache>
            </c:numRef>
          </c:yVal>
          <c:smooth val="1"/>
          <c:extLst>
            <c:ext xmlns:c16="http://schemas.microsoft.com/office/drawing/2014/chart" uri="{C3380CC4-5D6E-409C-BE32-E72D297353CC}">
              <c16:uniqueId val="{00000000-9305-0C47-8ECD-E2270E142391}"/>
            </c:ext>
          </c:extLst>
        </c:ser>
        <c:ser>
          <c:idx val="1"/>
          <c:order val="1"/>
          <c:tx>
            <c:v>Forecasts</c:v>
          </c:tx>
          <c:spPr>
            <a:ln w="12700">
              <a:solidFill>
                <a:srgbClr val="FF00FF"/>
              </a:solidFill>
              <a:prstDash val="solid"/>
            </a:ln>
          </c:spPr>
          <c:marker>
            <c:symbol val="square"/>
            <c:size val="5"/>
            <c:spPr>
              <a:solidFill>
                <a:srgbClr val="FF00FF"/>
              </a:solidFill>
              <a:ln>
                <a:solidFill>
                  <a:srgbClr val="FF00FF"/>
                </a:solidFill>
                <a:prstDash val="solid"/>
              </a:ln>
            </c:spPr>
          </c:marker>
          <c:xVal>
            <c:numRef>
              <c:f>'Final output'!$A$5:$A$8</c:f>
              <c:numCache>
                <c:formatCode>m/d/yy</c:formatCode>
                <c:ptCount val="4"/>
                <c:pt idx="0">
                  <c:v>0</c:v>
                </c:pt>
                <c:pt idx="1">
                  <c:v>0</c:v>
                </c:pt>
                <c:pt idx="2">
                  <c:v>0</c:v>
                </c:pt>
                <c:pt idx="3">
                  <c:v>0</c:v>
                </c:pt>
              </c:numCache>
            </c:numRef>
          </c:xVal>
          <c:yVal>
            <c:numRef>
              <c:f>'Final output'!$C$5:$C$8</c:f>
              <c:numCache>
                <c:formatCode>_(* #,##0_);_(* \(#,##0\);_(* "-"??_);_(@_)</c:formatCode>
                <c:ptCount val="4"/>
                <c:pt idx="0">
                  <c:v>50877918.302477092</c:v>
                </c:pt>
                <c:pt idx="1">
                  <c:v>55890640.923313349</c:v>
                </c:pt>
                <c:pt idx="2">
                  <c:v>46553877.917925946</c:v>
                </c:pt>
                <c:pt idx="3">
                  <c:v>46868177.36440973</c:v>
                </c:pt>
              </c:numCache>
            </c:numRef>
          </c:yVal>
          <c:smooth val="1"/>
          <c:extLst>
            <c:ext xmlns:c16="http://schemas.microsoft.com/office/drawing/2014/chart" uri="{C3380CC4-5D6E-409C-BE32-E72D297353CC}">
              <c16:uniqueId val="{00000001-9305-0C47-8ECD-E2270E142391}"/>
            </c:ext>
          </c:extLst>
        </c:ser>
        <c:ser>
          <c:idx val="2"/>
          <c:order val="2"/>
          <c:tx>
            <c:v>Upper Conf Int</c:v>
          </c:tx>
          <c:spPr>
            <a:ln>
              <a:prstDash val="dash"/>
            </a:ln>
          </c:spPr>
          <c:xVal>
            <c:numRef>
              <c:f>'Final output'!$A$5:$A$8</c:f>
              <c:numCache>
                <c:formatCode>m/d/yy</c:formatCode>
                <c:ptCount val="4"/>
                <c:pt idx="0">
                  <c:v>0</c:v>
                </c:pt>
                <c:pt idx="1">
                  <c:v>0</c:v>
                </c:pt>
                <c:pt idx="2">
                  <c:v>0</c:v>
                </c:pt>
                <c:pt idx="3">
                  <c:v>0</c:v>
                </c:pt>
              </c:numCache>
            </c:numRef>
          </c:xVal>
          <c:yVal>
            <c:numRef>
              <c:f>'Final output'!$G$5:$G$8</c:f>
              <c:numCache>
                <c:formatCode>_(* #,##0_);_(* \(#,##0\);_(* "-"??_);_(@_)</c:formatCode>
                <c:ptCount val="4"/>
                <c:pt idx="0">
                  <c:v>55034423.432640396</c:v>
                </c:pt>
                <c:pt idx="1">
                  <c:v>60047146.053476654</c:v>
                </c:pt>
                <c:pt idx="2">
                  <c:v>50710383.048089251</c:v>
                </c:pt>
                <c:pt idx="3">
                  <c:v>51024682.494573034</c:v>
                </c:pt>
              </c:numCache>
            </c:numRef>
          </c:yVal>
          <c:smooth val="1"/>
          <c:extLst>
            <c:ext xmlns:c16="http://schemas.microsoft.com/office/drawing/2014/chart" uri="{C3380CC4-5D6E-409C-BE32-E72D297353CC}">
              <c16:uniqueId val="{00000002-9305-0C47-8ECD-E2270E142391}"/>
            </c:ext>
          </c:extLst>
        </c:ser>
        <c:ser>
          <c:idx val="3"/>
          <c:order val="3"/>
          <c:tx>
            <c:v>Lower Conf Int</c:v>
          </c:tx>
          <c:spPr>
            <a:ln>
              <a:prstDash val="dash"/>
            </a:ln>
          </c:spPr>
          <c:xVal>
            <c:numRef>
              <c:f>'Final output'!$A$5:$A$8</c:f>
              <c:numCache>
                <c:formatCode>m/d/yy</c:formatCode>
                <c:ptCount val="4"/>
                <c:pt idx="0">
                  <c:v>0</c:v>
                </c:pt>
                <c:pt idx="1">
                  <c:v>0</c:v>
                </c:pt>
                <c:pt idx="2">
                  <c:v>0</c:v>
                </c:pt>
                <c:pt idx="3">
                  <c:v>0</c:v>
                </c:pt>
              </c:numCache>
            </c:numRef>
          </c:xVal>
          <c:yVal>
            <c:numRef>
              <c:f>'Final output'!$F$5:$F$8</c:f>
              <c:numCache>
                <c:formatCode>_(* #,##0_);_(* \(#,##0\);_(* "-"??_);_(@_)</c:formatCode>
                <c:ptCount val="4"/>
                <c:pt idx="0">
                  <c:v>46721413.172313787</c:v>
                </c:pt>
                <c:pt idx="1">
                  <c:v>51734135.793150045</c:v>
                </c:pt>
                <c:pt idx="2">
                  <c:v>42397372.787762642</c:v>
                </c:pt>
                <c:pt idx="3">
                  <c:v>42711672.234246425</c:v>
                </c:pt>
              </c:numCache>
            </c:numRef>
          </c:yVal>
          <c:smooth val="1"/>
          <c:extLst>
            <c:ext xmlns:c16="http://schemas.microsoft.com/office/drawing/2014/chart" uri="{C3380CC4-5D6E-409C-BE32-E72D297353CC}">
              <c16:uniqueId val="{00000003-9305-0C47-8ECD-E2270E142391}"/>
            </c:ext>
          </c:extLst>
        </c:ser>
        <c:dLbls>
          <c:showLegendKey val="0"/>
          <c:showVal val="0"/>
          <c:showCatName val="0"/>
          <c:showSerName val="0"/>
          <c:showPercent val="0"/>
          <c:showBubbleSize val="0"/>
        </c:dLbls>
        <c:axId val="1647348128"/>
        <c:axId val="1647352480"/>
      </c:scatterChart>
      <c:valAx>
        <c:axId val="1647348128"/>
        <c:scaling>
          <c:orientation val="minMax"/>
        </c:scaling>
        <c:delete val="0"/>
        <c:axPos val="b"/>
        <c:numFmt formatCode="m/d/yy"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47352480"/>
        <c:crosses val="autoZero"/>
        <c:crossBetween val="midCat"/>
      </c:valAx>
      <c:valAx>
        <c:axId val="1647352480"/>
        <c:scaling>
          <c:orientation val="minMax"/>
          <c:max val="60000000"/>
          <c:min val="4000000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Units Sold</a:t>
                </a:r>
              </a:p>
            </c:rich>
          </c:tx>
          <c:layout>
            <c:manualLayout>
              <c:xMode val="edge"/>
              <c:yMode val="edge"/>
              <c:x val="9.3317428885913154E-4"/>
              <c:y val="0.365672162468789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47348128"/>
        <c:crosses val="autoZero"/>
        <c:crossBetween val="midCat"/>
      </c:valAx>
      <c:spPr>
        <a:solidFill>
          <a:srgbClr val="C0C0C0"/>
        </a:solidFill>
        <a:ln w="12700">
          <a:solidFill>
            <a:srgbClr val="808080"/>
          </a:solidFill>
          <a:prstDash val="solid"/>
        </a:ln>
      </c:spPr>
    </c:plotArea>
    <c:legend>
      <c:legendPos val="r"/>
      <c:layout>
        <c:manualLayout>
          <c:xMode val="edge"/>
          <c:yMode val="edge"/>
          <c:x val="0.80257163506735574"/>
          <c:y val="0.43979825283033652"/>
          <c:w val="0.19742830268085826"/>
          <c:h val="0.27115219997766926"/>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33" r="0.75000000000000033"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US" b="1">
                <a:solidFill>
                  <a:srgbClr val="C00000"/>
                </a:solidFill>
              </a:rPr>
              <a:t>Triple Exponential Smoothing(Demand Vs Forcast</a:t>
            </a:r>
            <a:r>
              <a:rPr lang="en-US" b="1" baseline="0">
                <a:solidFill>
                  <a:srgbClr val="C00000"/>
                </a:solidFill>
              </a:rPr>
              <a:t> values)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lotArea>
      <c:layout/>
      <c:lineChart>
        <c:grouping val="standard"/>
        <c:varyColors val="0"/>
        <c:ser>
          <c:idx val="0"/>
          <c:order val="0"/>
          <c:tx>
            <c:strRef>
              <c:f>'Triple Exponential Smoothing'!$B$2</c:f>
              <c:strCache>
                <c:ptCount val="1"/>
                <c:pt idx="0">
                  <c:v>Demand</c:v>
                </c:pt>
              </c:strCache>
            </c:strRef>
          </c:tx>
          <c:spPr>
            <a:ln w="28575" cap="rnd">
              <a:solidFill>
                <a:schemeClr val="accent1"/>
              </a:solidFill>
              <a:round/>
            </a:ln>
            <a:effectLst/>
          </c:spPr>
          <c:marker>
            <c:symbol val="none"/>
          </c:marker>
          <c:val>
            <c:numRef>
              <c:f>'Triple Exponential Smoothing'!$B$3:$B$174</c:f>
              <c:numCache>
                <c:formatCode>_(* #,##0_);_(* \(#,##0\);_(* "-"??_);_(@_)</c:formatCode>
                <c:ptCount val="172"/>
                <c:pt idx="0">
                  <c:v>47540667.509999998</c:v>
                </c:pt>
                <c:pt idx="1">
                  <c:v>49092326.210000001</c:v>
                </c:pt>
                <c:pt idx="2">
                  <c:v>48336072.189999998</c:v>
                </c:pt>
                <c:pt idx="3">
                  <c:v>49231053.829999998</c:v>
                </c:pt>
                <c:pt idx="4">
                  <c:v>60346458.380000003</c:v>
                </c:pt>
                <c:pt idx="5">
                  <c:v>47465203.75</c:v>
                </c:pt>
                <c:pt idx="6">
                  <c:v>43127603.630000003</c:v>
                </c:pt>
                <c:pt idx="7">
                  <c:v>49032764.130000003</c:v>
                </c:pt>
                <c:pt idx="8">
                  <c:v>47093864.420000002</c:v>
                </c:pt>
                <c:pt idx="9">
                  <c:v>46783412.009999998</c:v>
                </c:pt>
                <c:pt idx="10">
                  <c:v>45504100.600000001</c:v>
                </c:pt>
                <c:pt idx="11">
                  <c:v>45516825.289999999</c:v>
                </c:pt>
                <c:pt idx="12">
                  <c:v>42844698.719999999</c:v>
                </c:pt>
                <c:pt idx="13">
                  <c:v>42207725.579999998</c:v>
                </c:pt>
                <c:pt idx="14">
                  <c:v>43526965.090000004</c:v>
                </c:pt>
                <c:pt idx="15">
                  <c:v>43128785.18</c:v>
                </c:pt>
                <c:pt idx="16">
                  <c:v>50293811.619999997</c:v>
                </c:pt>
                <c:pt idx="17">
                  <c:v>46390888.079999998</c:v>
                </c:pt>
                <c:pt idx="18">
                  <c:v>42739597.670000002</c:v>
                </c:pt>
                <c:pt idx="19">
                  <c:v>43329269.590000004</c:v>
                </c:pt>
                <c:pt idx="20">
                  <c:v>43862045.859999999</c:v>
                </c:pt>
                <c:pt idx="21">
                  <c:v>43762590.869999997</c:v>
                </c:pt>
                <c:pt idx="22">
                  <c:v>43304402.229999997</c:v>
                </c:pt>
                <c:pt idx="23">
                  <c:v>43696048.43</c:v>
                </c:pt>
                <c:pt idx="24">
                  <c:v>42504704.289999999</c:v>
                </c:pt>
                <c:pt idx="25">
                  <c:v>44900700.659999996</c:v>
                </c:pt>
                <c:pt idx="26">
                  <c:v>44418150.630000003</c:v>
                </c:pt>
                <c:pt idx="27">
                  <c:v>44267756.039999999</c:v>
                </c:pt>
                <c:pt idx="28">
                  <c:v>42167175.170000002</c:v>
                </c:pt>
                <c:pt idx="29">
                  <c:v>40900447.560000002</c:v>
                </c:pt>
                <c:pt idx="30">
                  <c:v>41213494.560000002</c:v>
                </c:pt>
                <c:pt idx="31">
                  <c:v>40555745.409999996</c:v>
                </c:pt>
                <c:pt idx="32">
                  <c:v>40045322.75</c:v>
                </c:pt>
                <c:pt idx="33">
                  <c:v>40250740.990000002</c:v>
                </c:pt>
                <c:pt idx="34">
                  <c:v>40547413.75</c:v>
                </c:pt>
                <c:pt idx="35">
                  <c:v>37744433.960000001</c:v>
                </c:pt>
                <c:pt idx="36">
                  <c:v>36953581.43</c:v>
                </c:pt>
                <c:pt idx="37">
                  <c:v>37044007.579999998</c:v>
                </c:pt>
                <c:pt idx="38">
                  <c:v>37503465.100000001</c:v>
                </c:pt>
                <c:pt idx="39">
                  <c:v>37545418.68</c:v>
                </c:pt>
                <c:pt idx="40">
                  <c:v>37206700.189999998</c:v>
                </c:pt>
                <c:pt idx="41">
                  <c:v>36975939.979999997</c:v>
                </c:pt>
                <c:pt idx="42">
                  <c:v>37095732.520000003</c:v>
                </c:pt>
                <c:pt idx="43">
                  <c:v>38369371.490000002</c:v>
                </c:pt>
                <c:pt idx="44">
                  <c:v>37186464.780000001</c:v>
                </c:pt>
                <c:pt idx="45">
                  <c:v>34198811.729999997</c:v>
                </c:pt>
                <c:pt idx="46">
                  <c:v>31082607.98</c:v>
                </c:pt>
                <c:pt idx="47">
                  <c:v>38190146.960000001</c:v>
                </c:pt>
                <c:pt idx="48">
                  <c:v>37186009.770000003</c:v>
                </c:pt>
                <c:pt idx="49">
                  <c:v>34296470.530000001</c:v>
                </c:pt>
                <c:pt idx="50">
                  <c:v>33617884.390000001</c:v>
                </c:pt>
                <c:pt idx="51">
                  <c:v>44371658.039999999</c:v>
                </c:pt>
                <c:pt idx="52">
                  <c:v>42307851.270000003</c:v>
                </c:pt>
                <c:pt idx="53">
                  <c:v>42172188.840000004</c:v>
                </c:pt>
                <c:pt idx="54">
                  <c:v>39929186.119999997</c:v>
                </c:pt>
                <c:pt idx="55">
                  <c:v>42589422.060000002</c:v>
                </c:pt>
                <c:pt idx="56">
                  <c:v>42098793.100000001</c:v>
                </c:pt>
                <c:pt idx="57">
                  <c:v>54840041.460000001</c:v>
                </c:pt>
                <c:pt idx="58">
                  <c:v>43069701.609999999</c:v>
                </c:pt>
                <c:pt idx="59">
                  <c:v>40511720.759999998</c:v>
                </c:pt>
                <c:pt idx="60">
                  <c:v>37741843.770000003</c:v>
                </c:pt>
                <c:pt idx="61">
                  <c:v>38789287.439999998</c:v>
                </c:pt>
                <c:pt idx="62">
                  <c:v>37612473.079999998</c:v>
                </c:pt>
                <c:pt idx="63">
                  <c:v>38884367.649999999</c:v>
                </c:pt>
                <c:pt idx="64">
                  <c:v>39780834.5</c:v>
                </c:pt>
                <c:pt idx="65">
                  <c:v>41480613.840000004</c:v>
                </c:pt>
                <c:pt idx="66">
                  <c:v>38444782.18</c:v>
                </c:pt>
                <c:pt idx="67">
                  <c:v>36545752.170000002</c:v>
                </c:pt>
                <c:pt idx="68">
                  <c:v>45249228.329999998</c:v>
                </c:pt>
                <c:pt idx="69">
                  <c:v>41827169.350000001</c:v>
                </c:pt>
                <c:pt idx="70">
                  <c:v>36518136.200000003</c:v>
                </c:pt>
                <c:pt idx="71">
                  <c:v>35674050.590000004</c:v>
                </c:pt>
                <c:pt idx="72">
                  <c:v>36469776.170000002</c:v>
                </c:pt>
                <c:pt idx="73">
                  <c:v>38573928.090000004</c:v>
                </c:pt>
                <c:pt idx="74">
                  <c:v>37638612.119999997</c:v>
                </c:pt>
                <c:pt idx="75">
                  <c:v>37450282.520000003</c:v>
                </c:pt>
                <c:pt idx="76">
                  <c:v>35562856.030000001</c:v>
                </c:pt>
                <c:pt idx="77">
                  <c:v>36727387.560000002</c:v>
                </c:pt>
                <c:pt idx="78">
                  <c:v>36856080.299999997</c:v>
                </c:pt>
                <c:pt idx="79">
                  <c:v>38738535.25</c:v>
                </c:pt>
                <c:pt idx="80">
                  <c:v>37607549.75</c:v>
                </c:pt>
                <c:pt idx="81">
                  <c:v>37776375.590000004</c:v>
                </c:pt>
                <c:pt idx="82">
                  <c:v>37822445.420000002</c:v>
                </c:pt>
                <c:pt idx="83">
                  <c:v>38631513.520000003</c:v>
                </c:pt>
                <c:pt idx="84">
                  <c:v>37166436.039999999</c:v>
                </c:pt>
                <c:pt idx="85">
                  <c:v>37884257.579999998</c:v>
                </c:pt>
                <c:pt idx="86">
                  <c:v>40194486.539999999</c:v>
                </c:pt>
                <c:pt idx="87">
                  <c:v>37832978.259999998</c:v>
                </c:pt>
                <c:pt idx="88">
                  <c:v>39359659.130000003</c:v>
                </c:pt>
                <c:pt idx="89">
                  <c:v>37744796.200000003</c:v>
                </c:pt>
                <c:pt idx="90">
                  <c:v>35582958.509999998</c:v>
                </c:pt>
                <c:pt idx="91">
                  <c:v>37772503.689999998</c:v>
                </c:pt>
                <c:pt idx="92">
                  <c:v>36576196.009999998</c:v>
                </c:pt>
                <c:pt idx="93">
                  <c:v>39468929.240000002</c:v>
                </c:pt>
                <c:pt idx="94">
                  <c:v>38262004.840000004</c:v>
                </c:pt>
                <c:pt idx="95">
                  <c:v>40541613.909999996</c:v>
                </c:pt>
                <c:pt idx="96">
                  <c:v>38848170.280000001</c:v>
                </c:pt>
                <c:pt idx="97">
                  <c:v>34706184.390000001</c:v>
                </c:pt>
                <c:pt idx="98">
                  <c:v>31923152.899999999</c:v>
                </c:pt>
                <c:pt idx="99">
                  <c:v>38604872.299999997</c:v>
                </c:pt>
                <c:pt idx="100">
                  <c:v>38758873.909999996</c:v>
                </c:pt>
                <c:pt idx="101">
                  <c:v>36758552.939999998</c:v>
                </c:pt>
                <c:pt idx="102">
                  <c:v>35482987.579999998</c:v>
                </c:pt>
                <c:pt idx="103">
                  <c:v>41686223.880000003</c:v>
                </c:pt>
                <c:pt idx="104">
                  <c:v>43253557.229999997</c:v>
                </c:pt>
                <c:pt idx="105">
                  <c:v>44242457.579999998</c:v>
                </c:pt>
                <c:pt idx="106">
                  <c:v>44266056.450000003</c:v>
                </c:pt>
                <c:pt idx="107">
                  <c:v>45740575.450000003</c:v>
                </c:pt>
                <c:pt idx="108">
                  <c:v>46522947.25</c:v>
                </c:pt>
                <c:pt idx="109">
                  <c:v>55094740</c:v>
                </c:pt>
                <c:pt idx="110">
                  <c:v>44520251.399999999</c:v>
                </c:pt>
                <c:pt idx="111">
                  <c:v>43835019.670000002</c:v>
                </c:pt>
                <c:pt idx="112">
                  <c:v>45866860.07</c:v>
                </c:pt>
                <c:pt idx="113">
                  <c:v>45801637.450000003</c:v>
                </c:pt>
                <c:pt idx="114">
                  <c:v>46471164.350000001</c:v>
                </c:pt>
                <c:pt idx="115">
                  <c:v>47594981.539999999</c:v>
                </c:pt>
                <c:pt idx="116">
                  <c:v>46185113.630000003</c:v>
                </c:pt>
                <c:pt idx="117">
                  <c:v>45099002.159999996</c:v>
                </c:pt>
                <c:pt idx="118">
                  <c:v>45173804.509999998</c:v>
                </c:pt>
                <c:pt idx="119">
                  <c:v>46470171.119999997</c:v>
                </c:pt>
                <c:pt idx="120">
                  <c:v>46202011.280000001</c:v>
                </c:pt>
                <c:pt idx="121">
                  <c:v>55002695.18</c:v>
                </c:pt>
                <c:pt idx="122">
                  <c:v>45907794.259999998</c:v>
                </c:pt>
                <c:pt idx="123">
                  <c:v>46224534.060000002</c:v>
                </c:pt>
                <c:pt idx="124">
                  <c:v>44993949.009999998</c:v>
                </c:pt>
                <c:pt idx="125">
                  <c:v>47265162.979999997</c:v>
                </c:pt>
                <c:pt idx="126">
                  <c:v>44921037.329999998</c:v>
                </c:pt>
                <c:pt idx="127">
                  <c:v>44434677.340000004</c:v>
                </c:pt>
                <c:pt idx="128">
                  <c:v>42543629.810000002</c:v>
                </c:pt>
                <c:pt idx="129">
                  <c:v>43490977.710000001</c:v>
                </c:pt>
                <c:pt idx="130">
                  <c:v>43563162.520000003</c:v>
                </c:pt>
                <c:pt idx="131">
                  <c:v>41326646.119999997</c:v>
                </c:pt>
                <c:pt idx="132">
                  <c:v>38584356.420000002</c:v>
                </c:pt>
                <c:pt idx="133">
                  <c:v>39071786.780000001</c:v>
                </c:pt>
                <c:pt idx="134">
                  <c:v>37871217.789999999</c:v>
                </c:pt>
                <c:pt idx="135">
                  <c:v>41180904.850000001</c:v>
                </c:pt>
                <c:pt idx="136">
                  <c:v>41669514.880000003</c:v>
                </c:pt>
                <c:pt idx="137">
                  <c:v>40375757.299999997</c:v>
                </c:pt>
                <c:pt idx="138">
                  <c:v>39962736.509999998</c:v>
                </c:pt>
                <c:pt idx="139">
                  <c:v>40866792.450000003</c:v>
                </c:pt>
                <c:pt idx="140">
                  <c:v>39339169.640000001</c:v>
                </c:pt>
                <c:pt idx="141">
                  <c:v>39550188.689999998</c:v>
                </c:pt>
                <c:pt idx="142">
                  <c:v>40009559.670000002</c:v>
                </c:pt>
                <c:pt idx="143">
                  <c:v>39365292.030000001</c:v>
                </c:pt>
                <c:pt idx="144">
                  <c:v>38846932.590000004</c:v>
                </c:pt>
                <c:pt idx="145">
                  <c:v>39444161.950000003</c:v>
                </c:pt>
                <c:pt idx="146">
                  <c:v>38161026.280000001</c:v>
                </c:pt>
                <c:pt idx="147">
                  <c:v>39140644.609999999</c:v>
                </c:pt>
                <c:pt idx="148">
                  <c:v>38888893.840000004</c:v>
                </c:pt>
                <c:pt idx="149">
                  <c:v>35140620.93</c:v>
                </c:pt>
                <c:pt idx="150">
                  <c:v>31702930.109999999</c:v>
                </c:pt>
                <c:pt idx="151">
                  <c:v>39977224.649999999</c:v>
                </c:pt>
                <c:pt idx="152">
                  <c:v>39410826.859999999</c:v>
                </c:pt>
                <c:pt idx="153">
                  <c:v>39211518.560000002</c:v>
                </c:pt>
                <c:pt idx="154">
                  <c:v>37947363.740000002</c:v>
                </c:pt>
                <c:pt idx="155">
                  <c:v>42127147.219999999</c:v>
                </c:pt>
                <c:pt idx="156">
                  <c:v>44769251.369999997</c:v>
                </c:pt>
                <c:pt idx="157">
                  <c:v>48384034.399999999</c:v>
                </c:pt>
                <c:pt idx="158">
                  <c:v>44225641.32</c:v>
                </c:pt>
                <c:pt idx="159">
                  <c:v>47220895.350000001</c:v>
                </c:pt>
                <c:pt idx="160">
                  <c:v>48357164.799999997</c:v>
                </c:pt>
                <c:pt idx="161">
                  <c:v>58320595.020000003</c:v>
                </c:pt>
                <c:pt idx="162">
                  <c:v>45836075.799999997</c:v>
                </c:pt>
                <c:pt idx="163">
                  <c:v>46400679.799999997</c:v>
                </c:pt>
                <c:pt idx="164">
                  <c:v>47852195.270000003</c:v>
                </c:pt>
                <c:pt idx="165">
                  <c:v>48516326.060000002</c:v>
                </c:pt>
                <c:pt idx="166">
                  <c:v>47989422.399999999</c:v>
                </c:pt>
                <c:pt idx="167">
                  <c:v>46853491.219999999</c:v>
                </c:pt>
                <c:pt idx="168">
                  <c:v>44575365.909999996</c:v>
                </c:pt>
                <c:pt idx="169">
                  <c:v>47342018.090000004</c:v>
                </c:pt>
                <c:pt idx="170">
                  <c:v>47370306.07</c:v>
                </c:pt>
                <c:pt idx="171">
                  <c:v>47610874.490000002</c:v>
                </c:pt>
              </c:numCache>
            </c:numRef>
          </c:val>
          <c:smooth val="0"/>
          <c:extLst>
            <c:ext xmlns:c16="http://schemas.microsoft.com/office/drawing/2014/chart" uri="{C3380CC4-5D6E-409C-BE32-E72D297353CC}">
              <c16:uniqueId val="{00000000-78B0-2645-AF2E-937E2FFA4978}"/>
            </c:ext>
          </c:extLst>
        </c:ser>
        <c:ser>
          <c:idx val="1"/>
          <c:order val="1"/>
          <c:tx>
            <c:strRef>
              <c:f>'Triple Exponential Smoothing'!$F$2</c:f>
              <c:strCache>
                <c:ptCount val="1"/>
                <c:pt idx="0">
                  <c:v> Forecast </c:v>
                </c:pt>
              </c:strCache>
            </c:strRef>
          </c:tx>
          <c:spPr>
            <a:ln w="28575" cap="rnd">
              <a:solidFill>
                <a:schemeClr val="accent2"/>
              </a:solidFill>
              <a:round/>
            </a:ln>
            <a:effectLst/>
          </c:spPr>
          <c:marker>
            <c:symbol val="none"/>
          </c:marker>
          <c:val>
            <c:numRef>
              <c:f>'Triple Exponential Smoothing'!$F$3:$F$178</c:f>
              <c:numCache>
                <c:formatCode>_(* #,##0_);_(* \(#,##0\);_(* "-"??_);_(@_)</c:formatCode>
                <c:ptCount val="176"/>
                <c:pt idx="0">
                  <c:v>47266189.286127254</c:v>
                </c:pt>
                <c:pt idx="1">
                  <c:v>48807243.475228809</c:v>
                </c:pt>
                <c:pt idx="2">
                  <c:v>48053741.563091785</c:v>
                </c:pt>
                <c:pt idx="3">
                  <c:v>48941806.128592052</c:v>
                </c:pt>
                <c:pt idx="4">
                  <c:v>59989808.804611169</c:v>
                </c:pt>
                <c:pt idx="5">
                  <c:v>47183015.073281281</c:v>
                </c:pt>
                <c:pt idx="6">
                  <c:v>42869669.257228419</c:v>
                </c:pt>
                <c:pt idx="7">
                  <c:v>48737748.201949753</c:v>
                </c:pt>
                <c:pt idx="8">
                  <c:v>46808799.134263568</c:v>
                </c:pt>
                <c:pt idx="9">
                  <c:v>46498501.331687085</c:v>
                </c:pt>
                <c:pt idx="10">
                  <c:v>45225282.922082067</c:v>
                </c:pt>
                <c:pt idx="11">
                  <c:v>45236210.228831246</c:v>
                </c:pt>
                <c:pt idx="12">
                  <c:v>42578918.989751793</c:v>
                </c:pt>
                <c:pt idx="13">
                  <c:v>41944262.857478969</c:v>
                </c:pt>
                <c:pt idx="14">
                  <c:v>43253561.006951623</c:v>
                </c:pt>
                <c:pt idx="15">
                  <c:v>42856169.800118715</c:v>
                </c:pt>
                <c:pt idx="16">
                  <c:v>49973884.136409849</c:v>
                </c:pt>
                <c:pt idx="17">
                  <c:v>46093898.555542901</c:v>
                </c:pt>
                <c:pt idx="18">
                  <c:v>42464220.381784603</c:v>
                </c:pt>
                <c:pt idx="19">
                  <c:v>43048282.522469461</c:v>
                </c:pt>
                <c:pt idx="20">
                  <c:v>43575747.152597256</c:v>
                </c:pt>
                <c:pt idx="21">
                  <c:v>43475064.573438734</c:v>
                </c:pt>
                <c:pt idx="22">
                  <c:v>43018004.624380372</c:v>
                </c:pt>
                <c:pt idx="23">
                  <c:v>43405136.665154956</c:v>
                </c:pt>
                <c:pt idx="24">
                  <c:v>42219827.441561289</c:v>
                </c:pt>
                <c:pt idx="25">
                  <c:v>44597734.710780628</c:v>
                </c:pt>
                <c:pt idx="26">
                  <c:v>44116404.649952859</c:v>
                </c:pt>
                <c:pt idx="27">
                  <c:v>43964974.851533592</c:v>
                </c:pt>
                <c:pt idx="28">
                  <c:v>41876775.199219666</c:v>
                </c:pt>
                <c:pt idx="29">
                  <c:v>40616818.060836747</c:v>
                </c:pt>
                <c:pt idx="30">
                  <c:v>40925698.435662739</c:v>
                </c:pt>
                <c:pt idx="31">
                  <c:v>40270550.855117686</c:v>
                </c:pt>
                <c:pt idx="32">
                  <c:v>39761723.252245598</c:v>
                </c:pt>
                <c:pt idx="33">
                  <c:v>39963653.585447885</c:v>
                </c:pt>
                <c:pt idx="34">
                  <c:v>40256132.780158266</c:v>
                </c:pt>
                <c:pt idx="35">
                  <c:v>37471326.8687144</c:v>
                </c:pt>
                <c:pt idx="36">
                  <c:v>36684247.889389262</c:v>
                </c:pt>
                <c:pt idx="37">
                  <c:v>36772032.705388539</c:v>
                </c:pt>
                <c:pt idx="38">
                  <c:v>37226080.373955935</c:v>
                </c:pt>
                <c:pt idx="39">
                  <c:v>37265654.450993292</c:v>
                </c:pt>
                <c:pt idx="40">
                  <c:v>36927378.547970936</c:v>
                </c:pt>
                <c:pt idx="41">
                  <c:v>36696251.015418753</c:v>
                </c:pt>
                <c:pt idx="42">
                  <c:v>36812998.814735606</c:v>
                </c:pt>
                <c:pt idx="43">
                  <c:v>38074684.425123036</c:v>
                </c:pt>
                <c:pt idx="44">
                  <c:v>36898652.278737664</c:v>
                </c:pt>
                <c:pt idx="45">
                  <c:v>33932058.20551198</c:v>
                </c:pt>
                <c:pt idx="46">
                  <c:v>30838255.127051115</c:v>
                </c:pt>
                <c:pt idx="47">
                  <c:v>37887539.976376362</c:v>
                </c:pt>
                <c:pt idx="48">
                  <c:v>36889005.89335572</c:v>
                </c:pt>
                <c:pt idx="49">
                  <c:v>34020339.892810315</c:v>
                </c:pt>
                <c:pt idx="50">
                  <c:v>33345020.336706351</c:v>
                </c:pt>
                <c:pt idx="51">
                  <c:v>44008562.43106357</c:v>
                </c:pt>
                <c:pt idx="52">
                  <c:v>33108569.040890511</c:v>
                </c:pt>
                <c:pt idx="53">
                  <c:v>38115612.590454385</c:v>
                </c:pt>
                <c:pt idx="54">
                  <c:v>39191898.211169228</c:v>
                </c:pt>
                <c:pt idx="55">
                  <c:v>40237515.127691559</c:v>
                </c:pt>
                <c:pt idx="56">
                  <c:v>50549543.784335323</c:v>
                </c:pt>
                <c:pt idx="57">
                  <c:v>36974672.627767809</c:v>
                </c:pt>
                <c:pt idx="58">
                  <c:v>40432935.971651047</c:v>
                </c:pt>
                <c:pt idx="59">
                  <c:v>47336242.090539701</c:v>
                </c:pt>
                <c:pt idx="60">
                  <c:v>42812868.504534684</c:v>
                </c:pt>
                <c:pt idx="61">
                  <c:v>40476848.994789049</c:v>
                </c:pt>
                <c:pt idx="62">
                  <c:v>38716785.669348754</c:v>
                </c:pt>
                <c:pt idx="63">
                  <c:v>38290607.335245959</c:v>
                </c:pt>
                <c:pt idx="64">
                  <c:v>36300079.477455042</c:v>
                </c:pt>
                <c:pt idx="65">
                  <c:v>37234075.582551003</c:v>
                </c:pt>
                <c:pt idx="66">
                  <c:v>40298177.275133684</c:v>
                </c:pt>
                <c:pt idx="67">
                  <c:v>39233269.586238958</c:v>
                </c:pt>
                <c:pt idx="68">
                  <c:v>44506372.513695344</c:v>
                </c:pt>
                <c:pt idx="69">
                  <c:v>41396630.510900423</c:v>
                </c:pt>
                <c:pt idx="70">
                  <c:v>38361241.655869581</c:v>
                </c:pt>
                <c:pt idx="71">
                  <c:v>38160311.933854468</c:v>
                </c:pt>
                <c:pt idx="72">
                  <c:v>37613803.476397946</c:v>
                </c:pt>
                <c:pt idx="73">
                  <c:v>37077207.438320443</c:v>
                </c:pt>
                <c:pt idx="74">
                  <c:v>37338346.506308727</c:v>
                </c:pt>
                <c:pt idx="75">
                  <c:v>37838364.291198231</c:v>
                </c:pt>
                <c:pt idx="76">
                  <c:v>36682991.692370959</c:v>
                </c:pt>
                <c:pt idx="77">
                  <c:v>38286209.546441466</c:v>
                </c:pt>
                <c:pt idx="78">
                  <c:v>37250338.090791017</c:v>
                </c:pt>
                <c:pt idx="79">
                  <c:v>36975060.056853592</c:v>
                </c:pt>
                <c:pt idx="80">
                  <c:v>35944432.57657139</c:v>
                </c:pt>
                <c:pt idx="81">
                  <c:v>35571688.898873523</c:v>
                </c:pt>
                <c:pt idx="82">
                  <c:v>36820337.537049033</c:v>
                </c:pt>
                <c:pt idx="83">
                  <c:v>36702213.378370307</c:v>
                </c:pt>
                <c:pt idx="84">
                  <c:v>37105400.210033625</c:v>
                </c:pt>
                <c:pt idx="85">
                  <c:v>37396106.783799991</c:v>
                </c:pt>
                <c:pt idx="86">
                  <c:v>37956192.429499775</c:v>
                </c:pt>
                <c:pt idx="87">
                  <c:v>36289045.731968112</c:v>
                </c:pt>
                <c:pt idx="88">
                  <c:v>36257752.073709927</c:v>
                </c:pt>
                <c:pt idx="89">
                  <c:v>37763946.842952944</c:v>
                </c:pt>
                <c:pt idx="90">
                  <c:v>38352087.842468388</c:v>
                </c:pt>
                <c:pt idx="91">
                  <c:v>37352185.505176999</c:v>
                </c:pt>
                <c:pt idx="92">
                  <c:v>37301941.460538112</c:v>
                </c:pt>
                <c:pt idx="93">
                  <c:v>36880007.940685049</c:v>
                </c:pt>
                <c:pt idx="94">
                  <c:v>38209690.583141319</c:v>
                </c:pt>
                <c:pt idx="95">
                  <c:v>39681253.494428001</c:v>
                </c:pt>
                <c:pt idx="96">
                  <c:v>38945728.661014967</c:v>
                </c:pt>
                <c:pt idx="97">
                  <c:v>35910571.572298482</c:v>
                </c:pt>
                <c:pt idx="98">
                  <c:v>32296231.263887681</c:v>
                </c:pt>
                <c:pt idx="99">
                  <c:v>39628320.647023767</c:v>
                </c:pt>
                <c:pt idx="100">
                  <c:v>38300758.137987047</c:v>
                </c:pt>
                <c:pt idx="101">
                  <c:v>35624088.030447952</c:v>
                </c:pt>
                <c:pt idx="102">
                  <c:v>35513264.272940576</c:v>
                </c:pt>
                <c:pt idx="103">
                  <c:v>47033032.412886463</c:v>
                </c:pt>
                <c:pt idx="104">
                  <c:v>38537367.705498911</c:v>
                </c:pt>
                <c:pt idx="105">
                  <c:v>38574539.174782567</c:v>
                </c:pt>
                <c:pt idx="106">
                  <c:v>38611478.441113621</c:v>
                </c:pt>
                <c:pt idx="107">
                  <c:v>42727701.029888719</c:v>
                </c:pt>
                <c:pt idx="108">
                  <c:v>47765440.284130581</c:v>
                </c:pt>
                <c:pt idx="109">
                  <c:v>51508101.570844404</c:v>
                </c:pt>
                <c:pt idx="110">
                  <c:v>39802224.09671361</c:v>
                </c:pt>
                <c:pt idx="111">
                  <c:v>42523212.04995349</c:v>
                </c:pt>
                <c:pt idx="112">
                  <c:v>42152266.230359465</c:v>
                </c:pt>
                <c:pt idx="113">
                  <c:v>45518193.629957117</c:v>
                </c:pt>
                <c:pt idx="114">
                  <c:v>44923039.935746633</c:v>
                </c:pt>
                <c:pt idx="115">
                  <c:v>46905665.152845368</c:v>
                </c:pt>
                <c:pt idx="116">
                  <c:v>46562825.232342295</c:v>
                </c:pt>
                <c:pt idx="117">
                  <c:v>46395689.534934998</c:v>
                </c:pt>
                <c:pt idx="118">
                  <c:v>43709231.993740946</c:v>
                </c:pt>
                <c:pt idx="119">
                  <c:v>43595430.793363102</c:v>
                </c:pt>
                <c:pt idx="120">
                  <c:v>55003711.743311659</c:v>
                </c:pt>
                <c:pt idx="121">
                  <c:v>47438006.767587833</c:v>
                </c:pt>
                <c:pt idx="122">
                  <c:v>45410403.50920213</c:v>
                </c:pt>
                <c:pt idx="123">
                  <c:v>46069703.996304087</c:v>
                </c:pt>
                <c:pt idx="124">
                  <c:v>47868966.367131427</c:v>
                </c:pt>
                <c:pt idx="125">
                  <c:v>48627712.439276114</c:v>
                </c:pt>
                <c:pt idx="126">
                  <c:v>47017427.296039671</c:v>
                </c:pt>
                <c:pt idx="127">
                  <c:v>46357553.224317051</c:v>
                </c:pt>
                <c:pt idx="128">
                  <c:v>44059031.655994579</c:v>
                </c:pt>
                <c:pt idx="129">
                  <c:v>45850219.126553722</c:v>
                </c:pt>
                <c:pt idx="130">
                  <c:v>45332402.204507671</c:v>
                </c:pt>
                <c:pt idx="131">
                  <c:v>46054720.501031689</c:v>
                </c:pt>
                <c:pt idx="132">
                  <c:v>42150457.249618918</c:v>
                </c:pt>
                <c:pt idx="133">
                  <c:v>39928217.957726233</c:v>
                </c:pt>
                <c:pt idx="134">
                  <c:v>39311839.116588049</c:v>
                </c:pt>
                <c:pt idx="135">
                  <c:v>38746523.498959027</c:v>
                </c:pt>
                <c:pt idx="136">
                  <c:v>38375313.674140155</c:v>
                </c:pt>
                <c:pt idx="137">
                  <c:v>40371836.268600032</c:v>
                </c:pt>
                <c:pt idx="138">
                  <c:v>41853246.903507546</c:v>
                </c:pt>
                <c:pt idx="139">
                  <c:v>38072663.083486639</c:v>
                </c:pt>
                <c:pt idx="140">
                  <c:v>39468569.06795989</c:v>
                </c:pt>
                <c:pt idx="141">
                  <c:v>37959266.582267113</c:v>
                </c:pt>
                <c:pt idx="142">
                  <c:v>37786075.625746302</c:v>
                </c:pt>
                <c:pt idx="143">
                  <c:v>40764385.399714112</c:v>
                </c:pt>
                <c:pt idx="144">
                  <c:v>39375550.958597466</c:v>
                </c:pt>
                <c:pt idx="145">
                  <c:v>41011720.456695542</c:v>
                </c:pt>
                <c:pt idx="146">
                  <c:v>39258771.264615215</c:v>
                </c:pt>
                <c:pt idx="147">
                  <c:v>40773284.882657208</c:v>
                </c:pt>
                <c:pt idx="148">
                  <c:v>38548138.59810552</c:v>
                </c:pt>
                <c:pt idx="149">
                  <c:v>35160880.77231767</c:v>
                </c:pt>
                <c:pt idx="150">
                  <c:v>32489848.601314306</c:v>
                </c:pt>
                <c:pt idx="151">
                  <c:v>39403525.419028945</c:v>
                </c:pt>
                <c:pt idx="152">
                  <c:v>39586632.561125122</c:v>
                </c:pt>
                <c:pt idx="153">
                  <c:v>37016404.225895502</c:v>
                </c:pt>
                <c:pt idx="154">
                  <c:v>36740219.356712922</c:v>
                </c:pt>
                <c:pt idx="155">
                  <c:v>46443779.992240518</c:v>
                </c:pt>
                <c:pt idx="156">
                  <c:v>43643846.238563493</c:v>
                </c:pt>
                <c:pt idx="157">
                  <c:v>42617419.588593066</c:v>
                </c:pt>
                <c:pt idx="158">
                  <c:v>42532932.521289192</c:v>
                </c:pt>
                <c:pt idx="159">
                  <c:v>43452811.643301703</c:v>
                </c:pt>
                <c:pt idx="160">
                  <c:v>46506373.443207107</c:v>
                </c:pt>
                <c:pt idx="161">
                  <c:v>54279707.187402472</c:v>
                </c:pt>
                <c:pt idx="162">
                  <c:v>43148211.514034815</c:v>
                </c:pt>
                <c:pt idx="163">
                  <c:v>43130875.696384758</c:v>
                </c:pt>
                <c:pt idx="164">
                  <c:v>44912565.351317383</c:v>
                </c:pt>
                <c:pt idx="165">
                  <c:v>46096790.670112923</c:v>
                </c:pt>
                <c:pt idx="166">
                  <c:v>47122132.452181749</c:v>
                </c:pt>
                <c:pt idx="167">
                  <c:v>48425303.078218408</c:v>
                </c:pt>
                <c:pt idx="168">
                  <c:v>46604937.500497289</c:v>
                </c:pt>
                <c:pt idx="169">
                  <c:v>45294468.69393748</c:v>
                </c:pt>
                <c:pt idx="170">
                  <c:v>45501936.930138253</c:v>
                </c:pt>
                <c:pt idx="171">
                  <c:v>46355435.365742102</c:v>
                </c:pt>
                <c:pt idx="172">
                  <c:v>50877918.302477092</c:v>
                </c:pt>
                <c:pt idx="173">
                  <c:v>55890640.923313349</c:v>
                </c:pt>
                <c:pt idx="174">
                  <c:v>46553877.917925946</c:v>
                </c:pt>
                <c:pt idx="175">
                  <c:v>46868177.36440973</c:v>
                </c:pt>
              </c:numCache>
            </c:numRef>
          </c:val>
          <c:smooth val="0"/>
          <c:extLst>
            <c:ext xmlns:c16="http://schemas.microsoft.com/office/drawing/2014/chart" uri="{C3380CC4-5D6E-409C-BE32-E72D297353CC}">
              <c16:uniqueId val="{00000001-78B0-2645-AF2E-937E2FFA4978}"/>
            </c:ext>
          </c:extLst>
        </c:ser>
        <c:dLbls>
          <c:showLegendKey val="0"/>
          <c:showVal val="0"/>
          <c:showCatName val="0"/>
          <c:showSerName val="0"/>
          <c:showPercent val="0"/>
          <c:showBubbleSize val="0"/>
        </c:dLbls>
        <c:smooth val="0"/>
        <c:axId val="172347103"/>
        <c:axId val="1511637647"/>
      </c:lineChart>
      <c:catAx>
        <c:axId val="1723471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637647"/>
        <c:crosses val="autoZero"/>
        <c:auto val="1"/>
        <c:lblAlgn val="ctr"/>
        <c:lblOffset val="100"/>
        <c:noMultiLvlLbl val="0"/>
      </c:catAx>
      <c:valAx>
        <c:axId val="1511637647"/>
        <c:scaling>
          <c:orientation val="minMax"/>
          <c:min val="3000000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4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1  Residual Plot</a:t>
            </a:r>
          </a:p>
        </c:rich>
      </c:tx>
      <c:overlay val="0"/>
    </c:title>
    <c:autoTitleDeleted val="0"/>
    <c:plotArea>
      <c:layout/>
      <c:scatterChart>
        <c:scatterStyle val="lineMarker"/>
        <c:varyColors val="0"/>
        <c:ser>
          <c:idx val="0"/>
          <c:order val="0"/>
          <c:spPr>
            <a:ln w="19050">
              <a:noFill/>
            </a:ln>
          </c:spPr>
          <c:xVal>
            <c:numRef>
              <c:f>'Triple Exponential Smoothing'!$K$3:$K$54</c:f>
              <c:numCache>
                <c:formatCode>0</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xVal>
          <c:yVal>
            <c:numRef>
              <c:f>'Triple Exponential Smoothing'!$U$27:$U$78</c:f>
              <c:numCache>
                <c:formatCode>General</c:formatCode>
                <c:ptCount val="52"/>
                <c:pt idx="0">
                  <c:v>-1992161.2374818623</c:v>
                </c:pt>
                <c:pt idx="1">
                  <c:v>-154522.47935286164</c:v>
                </c:pt>
                <c:pt idx="2">
                  <c:v>-624796.44122385979</c:v>
                </c:pt>
                <c:pt idx="3">
                  <c:v>556165.25690513849</c:v>
                </c:pt>
                <c:pt idx="4">
                  <c:v>11957549.865034148</c:v>
                </c:pt>
                <c:pt idx="5">
                  <c:v>-637724.7068368569</c:v>
                </c:pt>
                <c:pt idx="6">
                  <c:v>-4689344.7687078491</c:v>
                </c:pt>
                <c:pt idx="7">
                  <c:v>1501795.789421156</c:v>
                </c:pt>
                <c:pt idx="8">
                  <c:v>-151123.86244984716</c:v>
                </c:pt>
                <c:pt idx="9">
                  <c:v>-175596.2143208459</c:v>
                </c:pt>
                <c:pt idx="10">
                  <c:v>-1168927.5661918446</c:v>
                </c:pt>
                <c:pt idx="11">
                  <c:v>-870222.81806284189</c:v>
                </c:pt>
                <c:pt idx="12">
                  <c:v>-3256369.3299338371</c:v>
                </c:pt>
                <c:pt idx="13">
                  <c:v>-3607362.41180484</c:v>
                </c:pt>
                <c:pt idx="14">
                  <c:v>-2002142.8436758295</c:v>
                </c:pt>
                <c:pt idx="15">
                  <c:v>-2114342.6955468357</c:v>
                </c:pt>
                <c:pt idx="16">
                  <c:v>5336663.8025821671</c:v>
                </c:pt>
                <c:pt idx="17">
                  <c:v>1719720.3207111657</c:v>
                </c:pt>
                <c:pt idx="18">
                  <c:v>-1645590.0311598256</c:v>
                </c:pt>
                <c:pt idx="19">
                  <c:v>-769938.0530308187</c:v>
                </c:pt>
                <c:pt idx="20">
                  <c:v>48818.27509817481</c:v>
                </c:pt>
                <c:pt idx="21">
                  <c:v>235343.34322717786</c:v>
                </c:pt>
                <c:pt idx="22">
                  <c:v>63134.761356174946</c:v>
                </c:pt>
                <c:pt idx="23">
                  <c:v>740761.01948518306</c:v>
                </c:pt>
                <c:pt idx="24">
                  <c:v>-164603.06238581985</c:v>
                </c:pt>
                <c:pt idx="25">
                  <c:v>2517373.3657431826</c:v>
                </c:pt>
                <c:pt idx="26">
                  <c:v>2320803.393872194</c:v>
                </c:pt>
                <c:pt idx="27">
                  <c:v>2456388.8620011881</c:v>
                </c:pt>
                <c:pt idx="28">
                  <c:v>641788.05013019592</c:v>
                </c:pt>
                <c:pt idx="29">
                  <c:v>-338959.5017408058</c:v>
                </c:pt>
                <c:pt idx="30">
                  <c:v>260067.55638819933</c:v>
                </c:pt>
                <c:pt idx="31">
                  <c:v>-111701.53548280895</c:v>
                </c:pt>
                <c:pt idx="32">
                  <c:v>-336144.13735380024</c:v>
                </c:pt>
                <c:pt idx="33">
                  <c:v>155254.16077520698</c:v>
                </c:pt>
                <c:pt idx="34">
                  <c:v>737906.97890420258</c:v>
                </c:pt>
                <c:pt idx="35">
                  <c:v>-1779092.7529667914</c:v>
                </c:pt>
                <c:pt idx="36">
                  <c:v>-2283965.2248377949</c:v>
                </c:pt>
                <c:pt idx="37">
                  <c:v>-1907559.0167087913</c:v>
                </c:pt>
                <c:pt idx="38">
                  <c:v>-1162121.4385797828</c:v>
                </c:pt>
                <c:pt idx="39">
                  <c:v>-834187.80045078695</c:v>
                </c:pt>
                <c:pt idx="40">
                  <c:v>-886926.2323217839</c:v>
                </c:pt>
                <c:pt idx="41">
                  <c:v>-831706.38419278711</c:v>
                </c:pt>
                <c:pt idx="42">
                  <c:v>-425933.78606377542</c:v>
                </c:pt>
                <c:pt idx="43">
                  <c:v>1133685.2420652211</c:v>
                </c:pt>
                <c:pt idx="44">
                  <c:v>236758.59019422531</c:v>
                </c:pt>
                <c:pt idx="45">
                  <c:v>-2464914.401676774</c:v>
                </c:pt>
                <c:pt idx="46">
                  <c:v>-5295138.0935477726</c:v>
                </c:pt>
                <c:pt idx="47">
                  <c:v>2098380.944581233</c:v>
                </c:pt>
                <c:pt idx="48">
                  <c:v>1380223.812710233</c:v>
                </c:pt>
                <c:pt idx="49">
                  <c:v>-1223335.3691607639</c:v>
                </c:pt>
                <c:pt idx="50">
                  <c:v>-1615941.4510317668</c:v>
                </c:pt>
                <c:pt idx="51">
                  <c:v>9423812.2570972368</c:v>
                </c:pt>
              </c:numCache>
            </c:numRef>
          </c:yVal>
          <c:smooth val="0"/>
          <c:extLst>
            <c:ext xmlns:c16="http://schemas.microsoft.com/office/drawing/2014/chart" uri="{C3380CC4-5D6E-409C-BE32-E72D297353CC}">
              <c16:uniqueId val="{00000001-C7C1-1C49-B5C8-326E8AE81F92}"/>
            </c:ext>
          </c:extLst>
        </c:ser>
        <c:dLbls>
          <c:showLegendKey val="0"/>
          <c:showVal val="0"/>
          <c:showCatName val="0"/>
          <c:showSerName val="0"/>
          <c:showPercent val="0"/>
          <c:showBubbleSize val="0"/>
        </c:dLbls>
        <c:axId val="1148219903"/>
        <c:axId val="486811296"/>
      </c:scatterChart>
      <c:valAx>
        <c:axId val="1148219903"/>
        <c:scaling>
          <c:orientation val="minMax"/>
        </c:scaling>
        <c:delete val="0"/>
        <c:axPos val="b"/>
        <c:title>
          <c:tx>
            <c:rich>
              <a:bodyPr/>
              <a:lstStyle/>
              <a:p>
                <a:pPr>
                  <a:defRPr/>
                </a:pPr>
                <a:r>
                  <a:rPr lang="en-US"/>
                  <a:t>X Variable 1</a:t>
                </a:r>
              </a:p>
            </c:rich>
          </c:tx>
          <c:overlay val="0"/>
        </c:title>
        <c:numFmt formatCode="0" sourceLinked="1"/>
        <c:majorTickMark val="out"/>
        <c:minorTickMark val="none"/>
        <c:tickLblPos val="nextTo"/>
        <c:crossAx val="486811296"/>
        <c:crosses val="autoZero"/>
        <c:crossBetween val="midCat"/>
      </c:valAx>
      <c:valAx>
        <c:axId val="48681129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14821990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1 Line Fit  Plot</a:t>
            </a:r>
          </a:p>
        </c:rich>
      </c:tx>
      <c:overlay val="0"/>
    </c:title>
    <c:autoTitleDeleted val="0"/>
    <c:plotArea>
      <c:layout/>
      <c:scatterChart>
        <c:scatterStyle val="lineMarker"/>
        <c:varyColors val="0"/>
        <c:ser>
          <c:idx val="0"/>
          <c:order val="0"/>
          <c:tx>
            <c:v>Y</c:v>
          </c:tx>
          <c:spPr>
            <a:ln w="19050">
              <a:noFill/>
            </a:ln>
          </c:spPr>
          <c:xVal>
            <c:numRef>
              <c:f>'Triple Exponential Smoothing'!$K$3:$K$54</c:f>
              <c:numCache>
                <c:formatCode>0</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xVal>
          <c:yVal>
            <c:numRef>
              <c:f>'Triple Exponential Smoothing'!$B$3:$B$54</c:f>
              <c:numCache>
                <c:formatCode>_(* #,##0_);_(* \(#,##0\);_(* "-"??_);_(@_)</c:formatCode>
                <c:ptCount val="52"/>
                <c:pt idx="0">
                  <c:v>47540667.509999998</c:v>
                </c:pt>
                <c:pt idx="1">
                  <c:v>49092326.210000001</c:v>
                </c:pt>
                <c:pt idx="2">
                  <c:v>48336072.189999998</c:v>
                </c:pt>
                <c:pt idx="3">
                  <c:v>49231053.829999998</c:v>
                </c:pt>
                <c:pt idx="4">
                  <c:v>60346458.380000003</c:v>
                </c:pt>
                <c:pt idx="5">
                  <c:v>47465203.75</c:v>
                </c:pt>
                <c:pt idx="6">
                  <c:v>43127603.630000003</c:v>
                </c:pt>
                <c:pt idx="7">
                  <c:v>49032764.130000003</c:v>
                </c:pt>
                <c:pt idx="8">
                  <c:v>47093864.420000002</c:v>
                </c:pt>
                <c:pt idx="9">
                  <c:v>46783412.009999998</c:v>
                </c:pt>
                <c:pt idx="10">
                  <c:v>45504100.600000001</c:v>
                </c:pt>
                <c:pt idx="11">
                  <c:v>45516825.289999999</c:v>
                </c:pt>
                <c:pt idx="12">
                  <c:v>42844698.719999999</c:v>
                </c:pt>
                <c:pt idx="13">
                  <c:v>42207725.579999998</c:v>
                </c:pt>
                <c:pt idx="14">
                  <c:v>43526965.090000004</c:v>
                </c:pt>
                <c:pt idx="15">
                  <c:v>43128785.18</c:v>
                </c:pt>
                <c:pt idx="16">
                  <c:v>50293811.619999997</c:v>
                </c:pt>
                <c:pt idx="17">
                  <c:v>46390888.079999998</c:v>
                </c:pt>
                <c:pt idx="18">
                  <c:v>42739597.670000002</c:v>
                </c:pt>
                <c:pt idx="19">
                  <c:v>43329269.590000004</c:v>
                </c:pt>
                <c:pt idx="20">
                  <c:v>43862045.859999999</c:v>
                </c:pt>
                <c:pt idx="21">
                  <c:v>43762590.869999997</c:v>
                </c:pt>
                <c:pt idx="22">
                  <c:v>43304402.229999997</c:v>
                </c:pt>
                <c:pt idx="23">
                  <c:v>43696048.43</c:v>
                </c:pt>
                <c:pt idx="24">
                  <c:v>42504704.289999999</c:v>
                </c:pt>
                <c:pt idx="25">
                  <c:v>44900700.659999996</c:v>
                </c:pt>
                <c:pt idx="26">
                  <c:v>44418150.630000003</c:v>
                </c:pt>
                <c:pt idx="27">
                  <c:v>44267756.039999999</c:v>
                </c:pt>
                <c:pt idx="28">
                  <c:v>42167175.170000002</c:v>
                </c:pt>
                <c:pt idx="29">
                  <c:v>40900447.560000002</c:v>
                </c:pt>
                <c:pt idx="30">
                  <c:v>41213494.560000002</c:v>
                </c:pt>
                <c:pt idx="31">
                  <c:v>40555745.409999996</c:v>
                </c:pt>
                <c:pt idx="32">
                  <c:v>40045322.75</c:v>
                </c:pt>
                <c:pt idx="33">
                  <c:v>40250740.990000002</c:v>
                </c:pt>
                <c:pt idx="34">
                  <c:v>40547413.75</c:v>
                </c:pt>
                <c:pt idx="35">
                  <c:v>37744433.960000001</c:v>
                </c:pt>
                <c:pt idx="36">
                  <c:v>36953581.43</c:v>
                </c:pt>
                <c:pt idx="37">
                  <c:v>37044007.579999998</c:v>
                </c:pt>
                <c:pt idx="38">
                  <c:v>37503465.100000001</c:v>
                </c:pt>
                <c:pt idx="39">
                  <c:v>37545418.68</c:v>
                </c:pt>
                <c:pt idx="40">
                  <c:v>37206700.189999998</c:v>
                </c:pt>
                <c:pt idx="41">
                  <c:v>36975939.979999997</c:v>
                </c:pt>
                <c:pt idx="42">
                  <c:v>37095732.520000003</c:v>
                </c:pt>
                <c:pt idx="43">
                  <c:v>38369371.490000002</c:v>
                </c:pt>
                <c:pt idx="44">
                  <c:v>37186464.780000001</c:v>
                </c:pt>
                <c:pt idx="45">
                  <c:v>34198811.729999997</c:v>
                </c:pt>
                <c:pt idx="46">
                  <c:v>31082607.98</c:v>
                </c:pt>
                <c:pt idx="47">
                  <c:v>38190146.960000001</c:v>
                </c:pt>
                <c:pt idx="48">
                  <c:v>37186009.770000003</c:v>
                </c:pt>
                <c:pt idx="49">
                  <c:v>34296470.530000001</c:v>
                </c:pt>
                <c:pt idx="50">
                  <c:v>33617884.390000001</c:v>
                </c:pt>
                <c:pt idx="51">
                  <c:v>44371658.039999999</c:v>
                </c:pt>
              </c:numCache>
            </c:numRef>
          </c:yVal>
          <c:smooth val="0"/>
          <c:extLst>
            <c:ext xmlns:c16="http://schemas.microsoft.com/office/drawing/2014/chart" uri="{C3380CC4-5D6E-409C-BE32-E72D297353CC}">
              <c16:uniqueId val="{00000001-444A-9C4A-84F4-86B2E547EDF1}"/>
            </c:ext>
          </c:extLst>
        </c:ser>
        <c:ser>
          <c:idx val="1"/>
          <c:order val="1"/>
          <c:tx>
            <c:v>Predicted Y</c:v>
          </c:tx>
          <c:spPr>
            <a:ln w="19050">
              <a:noFill/>
            </a:ln>
          </c:spPr>
          <c:xVal>
            <c:numRef>
              <c:f>'Triple Exponential Smoothing'!$K$3:$K$54</c:f>
              <c:numCache>
                <c:formatCode>0</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xVal>
          <c:yVal>
            <c:numRef>
              <c:f>'Triple Exponential Smoothing'!$T$27:$T$78</c:f>
              <c:numCache>
                <c:formatCode>General</c:formatCode>
                <c:ptCount val="52"/>
                <c:pt idx="0">
                  <c:v>49532828.74748186</c:v>
                </c:pt>
                <c:pt idx="1">
                  <c:v>49246848.689352863</c:v>
                </c:pt>
                <c:pt idx="2">
                  <c:v>48960868.631223857</c:v>
                </c:pt>
                <c:pt idx="3">
                  <c:v>48674888.57309486</c:v>
                </c:pt>
                <c:pt idx="4">
                  <c:v>48388908.514965855</c:v>
                </c:pt>
                <c:pt idx="5">
                  <c:v>48102928.456836857</c:v>
                </c:pt>
                <c:pt idx="6">
                  <c:v>47816948.398707852</c:v>
                </c:pt>
                <c:pt idx="7">
                  <c:v>47530968.340578847</c:v>
                </c:pt>
                <c:pt idx="8">
                  <c:v>47244988.282449849</c:v>
                </c:pt>
                <c:pt idx="9">
                  <c:v>46959008.224320844</c:v>
                </c:pt>
                <c:pt idx="10">
                  <c:v>46673028.166191846</c:v>
                </c:pt>
                <c:pt idx="11">
                  <c:v>46387048.108062841</c:v>
                </c:pt>
                <c:pt idx="12">
                  <c:v>46101068.049933836</c:v>
                </c:pt>
                <c:pt idx="13">
                  <c:v>45815087.991804838</c:v>
                </c:pt>
                <c:pt idx="14">
                  <c:v>45529107.933675833</c:v>
                </c:pt>
                <c:pt idx="15">
                  <c:v>45243127.875546835</c:v>
                </c:pt>
                <c:pt idx="16">
                  <c:v>44957147.81741783</c:v>
                </c:pt>
                <c:pt idx="17">
                  <c:v>44671167.759288833</c:v>
                </c:pt>
                <c:pt idx="18">
                  <c:v>44385187.701159827</c:v>
                </c:pt>
                <c:pt idx="19">
                  <c:v>44099207.643030822</c:v>
                </c:pt>
                <c:pt idx="20">
                  <c:v>43813227.584901825</c:v>
                </c:pt>
                <c:pt idx="21">
                  <c:v>43527247.526772819</c:v>
                </c:pt>
                <c:pt idx="22">
                  <c:v>43241267.468643822</c:v>
                </c:pt>
                <c:pt idx="23">
                  <c:v>42955287.410514817</c:v>
                </c:pt>
                <c:pt idx="24">
                  <c:v>42669307.352385819</c:v>
                </c:pt>
                <c:pt idx="25">
                  <c:v>42383327.294256814</c:v>
                </c:pt>
                <c:pt idx="26">
                  <c:v>42097347.236127809</c:v>
                </c:pt>
                <c:pt idx="27">
                  <c:v>41811367.177998811</c:v>
                </c:pt>
                <c:pt idx="28">
                  <c:v>41525387.119869806</c:v>
                </c:pt>
                <c:pt idx="29">
                  <c:v>41239407.061740808</c:v>
                </c:pt>
                <c:pt idx="30">
                  <c:v>40953427.003611803</c:v>
                </c:pt>
                <c:pt idx="31">
                  <c:v>40667446.945482805</c:v>
                </c:pt>
                <c:pt idx="32">
                  <c:v>40381466.8873538</c:v>
                </c:pt>
                <c:pt idx="33">
                  <c:v>40095486.829224795</c:v>
                </c:pt>
                <c:pt idx="34">
                  <c:v>39809506.771095797</c:v>
                </c:pt>
                <c:pt idx="35">
                  <c:v>39523526.712966792</c:v>
                </c:pt>
                <c:pt idx="36">
                  <c:v>39237546.654837795</c:v>
                </c:pt>
                <c:pt idx="37">
                  <c:v>38951566.596708789</c:v>
                </c:pt>
                <c:pt idx="38">
                  <c:v>38665586.538579784</c:v>
                </c:pt>
                <c:pt idx="39">
                  <c:v>38379606.480450787</c:v>
                </c:pt>
                <c:pt idx="40">
                  <c:v>38093626.422321782</c:v>
                </c:pt>
                <c:pt idx="41">
                  <c:v>37807646.364192784</c:v>
                </c:pt>
                <c:pt idx="42">
                  <c:v>37521666.306063779</c:v>
                </c:pt>
                <c:pt idx="43">
                  <c:v>37235686.247934781</c:v>
                </c:pt>
                <c:pt idx="44">
                  <c:v>36949706.189805776</c:v>
                </c:pt>
                <c:pt idx="45">
                  <c:v>36663726.131676771</c:v>
                </c:pt>
                <c:pt idx="46">
                  <c:v>36377746.073547773</c:v>
                </c:pt>
                <c:pt idx="47">
                  <c:v>36091766.015418768</c:v>
                </c:pt>
                <c:pt idx="48">
                  <c:v>35805785.95728977</c:v>
                </c:pt>
                <c:pt idx="49">
                  <c:v>35519805.899160765</c:v>
                </c:pt>
                <c:pt idx="50">
                  <c:v>35233825.841031767</c:v>
                </c:pt>
                <c:pt idx="51">
                  <c:v>34947845.782902762</c:v>
                </c:pt>
              </c:numCache>
            </c:numRef>
          </c:yVal>
          <c:smooth val="0"/>
          <c:extLst>
            <c:ext xmlns:c16="http://schemas.microsoft.com/office/drawing/2014/chart" uri="{C3380CC4-5D6E-409C-BE32-E72D297353CC}">
              <c16:uniqueId val="{00000002-444A-9C4A-84F4-86B2E547EDF1}"/>
            </c:ext>
          </c:extLst>
        </c:ser>
        <c:dLbls>
          <c:showLegendKey val="0"/>
          <c:showVal val="0"/>
          <c:showCatName val="0"/>
          <c:showSerName val="0"/>
          <c:showPercent val="0"/>
          <c:showBubbleSize val="0"/>
        </c:dLbls>
        <c:axId val="1541886351"/>
        <c:axId val="509217072"/>
      </c:scatterChart>
      <c:valAx>
        <c:axId val="1541886351"/>
        <c:scaling>
          <c:orientation val="minMax"/>
        </c:scaling>
        <c:delete val="0"/>
        <c:axPos val="b"/>
        <c:title>
          <c:tx>
            <c:rich>
              <a:bodyPr/>
              <a:lstStyle/>
              <a:p>
                <a:pPr>
                  <a:defRPr/>
                </a:pPr>
                <a:r>
                  <a:rPr lang="en-US"/>
                  <a:t>X Variable 1</a:t>
                </a:r>
              </a:p>
            </c:rich>
          </c:tx>
          <c:overlay val="0"/>
        </c:title>
        <c:numFmt formatCode="0" sourceLinked="1"/>
        <c:majorTickMark val="out"/>
        <c:minorTickMark val="none"/>
        <c:tickLblPos val="nextTo"/>
        <c:crossAx val="509217072"/>
        <c:crosses val="autoZero"/>
        <c:crossBetween val="midCat"/>
      </c:valAx>
      <c:valAx>
        <c:axId val="509217072"/>
        <c:scaling>
          <c:orientation val="minMax"/>
        </c:scaling>
        <c:delete val="0"/>
        <c:axPos val="l"/>
        <c:title>
          <c:tx>
            <c:rich>
              <a:bodyPr/>
              <a:lstStyle/>
              <a:p>
                <a:pPr>
                  <a:defRPr/>
                </a:pPr>
                <a:r>
                  <a:rPr lang="en-US"/>
                  <a:t>Y</a:t>
                </a:r>
              </a:p>
            </c:rich>
          </c:tx>
          <c:overlay val="0"/>
        </c:title>
        <c:numFmt formatCode="_(* #,##0_);_(* \(#,##0\);_(* &quot;-&quot;??_);_(@_)" sourceLinked="1"/>
        <c:majorTickMark val="out"/>
        <c:minorTickMark val="none"/>
        <c:tickLblPos val="nextTo"/>
        <c:crossAx val="154188635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'Triple Exponential Smoothing'!$X$27:$X$78</c:f>
              <c:numCache>
                <c:formatCode>General</c:formatCode>
                <c:ptCount val="52"/>
                <c:pt idx="0">
                  <c:v>0.96153846153846156</c:v>
                </c:pt>
                <c:pt idx="1">
                  <c:v>2.8846153846153846</c:v>
                </c:pt>
                <c:pt idx="2">
                  <c:v>4.8076923076923075</c:v>
                </c:pt>
                <c:pt idx="3">
                  <c:v>6.7307692307692308</c:v>
                </c:pt>
                <c:pt idx="4">
                  <c:v>8.6538461538461533</c:v>
                </c:pt>
                <c:pt idx="5">
                  <c:v>10.576923076923077</c:v>
                </c:pt>
                <c:pt idx="6">
                  <c:v>12.5</c:v>
                </c:pt>
                <c:pt idx="7">
                  <c:v>14.423076923076923</c:v>
                </c:pt>
                <c:pt idx="8">
                  <c:v>16.346153846153847</c:v>
                </c:pt>
                <c:pt idx="9">
                  <c:v>18.269230769230766</c:v>
                </c:pt>
                <c:pt idx="10">
                  <c:v>20.19230769230769</c:v>
                </c:pt>
                <c:pt idx="11">
                  <c:v>22.115384615384613</c:v>
                </c:pt>
                <c:pt idx="12">
                  <c:v>24.038461538461537</c:v>
                </c:pt>
                <c:pt idx="13">
                  <c:v>25.96153846153846</c:v>
                </c:pt>
                <c:pt idx="14">
                  <c:v>27.884615384615383</c:v>
                </c:pt>
                <c:pt idx="15">
                  <c:v>29.807692307692307</c:v>
                </c:pt>
                <c:pt idx="16">
                  <c:v>31.73076923076923</c:v>
                </c:pt>
                <c:pt idx="17">
                  <c:v>33.653846153846153</c:v>
                </c:pt>
                <c:pt idx="18">
                  <c:v>35.576923076923073</c:v>
                </c:pt>
                <c:pt idx="19">
                  <c:v>37.5</c:v>
                </c:pt>
                <c:pt idx="20">
                  <c:v>39.42307692307692</c:v>
                </c:pt>
                <c:pt idx="21">
                  <c:v>41.346153846153847</c:v>
                </c:pt>
                <c:pt idx="22">
                  <c:v>43.269230769230766</c:v>
                </c:pt>
                <c:pt idx="23">
                  <c:v>45.192307692307693</c:v>
                </c:pt>
                <c:pt idx="24">
                  <c:v>47.115384615384613</c:v>
                </c:pt>
                <c:pt idx="25">
                  <c:v>49.03846153846154</c:v>
                </c:pt>
                <c:pt idx="26">
                  <c:v>50.96153846153846</c:v>
                </c:pt>
                <c:pt idx="27">
                  <c:v>52.884615384615387</c:v>
                </c:pt>
                <c:pt idx="28">
                  <c:v>54.807692307692307</c:v>
                </c:pt>
                <c:pt idx="29">
                  <c:v>56.730769230769234</c:v>
                </c:pt>
                <c:pt idx="30">
                  <c:v>58.653846153846153</c:v>
                </c:pt>
                <c:pt idx="31">
                  <c:v>60.57692307692308</c:v>
                </c:pt>
                <c:pt idx="32">
                  <c:v>62.5</c:v>
                </c:pt>
                <c:pt idx="33">
                  <c:v>64.42307692307692</c:v>
                </c:pt>
                <c:pt idx="34">
                  <c:v>66.346153846153854</c:v>
                </c:pt>
                <c:pt idx="35">
                  <c:v>68.269230769230774</c:v>
                </c:pt>
                <c:pt idx="36">
                  <c:v>70.192307692307693</c:v>
                </c:pt>
                <c:pt idx="37">
                  <c:v>72.115384615384627</c:v>
                </c:pt>
                <c:pt idx="38">
                  <c:v>74.038461538461547</c:v>
                </c:pt>
                <c:pt idx="39">
                  <c:v>75.961538461538467</c:v>
                </c:pt>
                <c:pt idx="40">
                  <c:v>77.884615384615387</c:v>
                </c:pt>
                <c:pt idx="41">
                  <c:v>79.807692307692321</c:v>
                </c:pt>
                <c:pt idx="42">
                  <c:v>81.730769230769241</c:v>
                </c:pt>
                <c:pt idx="43">
                  <c:v>83.65384615384616</c:v>
                </c:pt>
                <c:pt idx="44">
                  <c:v>85.57692307692308</c:v>
                </c:pt>
                <c:pt idx="45">
                  <c:v>87.500000000000014</c:v>
                </c:pt>
                <c:pt idx="46">
                  <c:v>89.423076923076934</c:v>
                </c:pt>
                <c:pt idx="47">
                  <c:v>91.346153846153854</c:v>
                </c:pt>
                <c:pt idx="48">
                  <c:v>93.269230769230774</c:v>
                </c:pt>
                <c:pt idx="49">
                  <c:v>95.192307692307693</c:v>
                </c:pt>
                <c:pt idx="50">
                  <c:v>97.115384615384627</c:v>
                </c:pt>
                <c:pt idx="51">
                  <c:v>99.038461538461547</c:v>
                </c:pt>
              </c:numCache>
            </c:numRef>
          </c:xVal>
          <c:yVal>
            <c:numRef>
              <c:f>'Triple Exponential Smoothing'!$Y$27:$Y$78</c:f>
              <c:numCache>
                <c:formatCode>General</c:formatCode>
                <c:ptCount val="52"/>
                <c:pt idx="0">
                  <c:v>31082607.98</c:v>
                </c:pt>
                <c:pt idx="1">
                  <c:v>33617884.390000001</c:v>
                </c:pt>
                <c:pt idx="2">
                  <c:v>34198811.729999997</c:v>
                </c:pt>
                <c:pt idx="3">
                  <c:v>34296470.530000001</c:v>
                </c:pt>
                <c:pt idx="4">
                  <c:v>36953581.43</c:v>
                </c:pt>
                <c:pt idx="5">
                  <c:v>36975939.979999997</c:v>
                </c:pt>
                <c:pt idx="6">
                  <c:v>37044007.579999998</c:v>
                </c:pt>
                <c:pt idx="7">
                  <c:v>37095732.520000003</c:v>
                </c:pt>
                <c:pt idx="8">
                  <c:v>37186009.770000003</c:v>
                </c:pt>
                <c:pt idx="9">
                  <c:v>37186464.780000001</c:v>
                </c:pt>
                <c:pt idx="10">
                  <c:v>37206700.189999998</c:v>
                </c:pt>
                <c:pt idx="11">
                  <c:v>37503465.100000001</c:v>
                </c:pt>
                <c:pt idx="12">
                  <c:v>37545418.68</c:v>
                </c:pt>
                <c:pt idx="13">
                  <c:v>37744433.960000001</c:v>
                </c:pt>
                <c:pt idx="14">
                  <c:v>38190146.960000001</c:v>
                </c:pt>
                <c:pt idx="15">
                  <c:v>38369371.490000002</c:v>
                </c:pt>
                <c:pt idx="16">
                  <c:v>40045322.75</c:v>
                </c:pt>
                <c:pt idx="17">
                  <c:v>40250740.990000002</c:v>
                </c:pt>
                <c:pt idx="18">
                  <c:v>40547413.75</c:v>
                </c:pt>
                <c:pt idx="19">
                  <c:v>40555745.409999996</c:v>
                </c:pt>
                <c:pt idx="20">
                  <c:v>40900447.560000002</c:v>
                </c:pt>
                <c:pt idx="21">
                  <c:v>41213494.560000002</c:v>
                </c:pt>
                <c:pt idx="22">
                  <c:v>42167175.170000002</c:v>
                </c:pt>
                <c:pt idx="23">
                  <c:v>42207725.579999998</c:v>
                </c:pt>
                <c:pt idx="24">
                  <c:v>42504704.289999999</c:v>
                </c:pt>
                <c:pt idx="25">
                  <c:v>42739597.670000002</c:v>
                </c:pt>
                <c:pt idx="26">
                  <c:v>42844698.719999999</c:v>
                </c:pt>
                <c:pt idx="27">
                  <c:v>43127603.630000003</c:v>
                </c:pt>
                <c:pt idx="28">
                  <c:v>43128785.18</c:v>
                </c:pt>
                <c:pt idx="29">
                  <c:v>43304402.229999997</c:v>
                </c:pt>
                <c:pt idx="30">
                  <c:v>43329269.590000004</c:v>
                </c:pt>
                <c:pt idx="31">
                  <c:v>43526965.090000004</c:v>
                </c:pt>
                <c:pt idx="32">
                  <c:v>43696048.43</c:v>
                </c:pt>
                <c:pt idx="33">
                  <c:v>43762590.869999997</c:v>
                </c:pt>
                <c:pt idx="34">
                  <c:v>43862045.859999999</c:v>
                </c:pt>
                <c:pt idx="35">
                  <c:v>44267756.039999999</c:v>
                </c:pt>
                <c:pt idx="36">
                  <c:v>44371658.039999999</c:v>
                </c:pt>
                <c:pt idx="37">
                  <c:v>44418150.630000003</c:v>
                </c:pt>
                <c:pt idx="38">
                  <c:v>44900700.659999996</c:v>
                </c:pt>
                <c:pt idx="39">
                  <c:v>45504100.600000001</c:v>
                </c:pt>
                <c:pt idx="40">
                  <c:v>45516825.289999999</c:v>
                </c:pt>
                <c:pt idx="41">
                  <c:v>46390888.079999998</c:v>
                </c:pt>
                <c:pt idx="42">
                  <c:v>46783412.009999998</c:v>
                </c:pt>
                <c:pt idx="43">
                  <c:v>47093864.420000002</c:v>
                </c:pt>
                <c:pt idx="44">
                  <c:v>47465203.75</c:v>
                </c:pt>
                <c:pt idx="45">
                  <c:v>47540667.509999998</c:v>
                </c:pt>
                <c:pt idx="46">
                  <c:v>48336072.189999998</c:v>
                </c:pt>
                <c:pt idx="47">
                  <c:v>49032764.130000003</c:v>
                </c:pt>
                <c:pt idx="48">
                  <c:v>49092326.210000001</c:v>
                </c:pt>
                <c:pt idx="49">
                  <c:v>49231053.829999998</c:v>
                </c:pt>
                <c:pt idx="50">
                  <c:v>50293811.619999997</c:v>
                </c:pt>
                <c:pt idx="51">
                  <c:v>60346458.380000003</c:v>
                </c:pt>
              </c:numCache>
            </c:numRef>
          </c:yVal>
          <c:smooth val="0"/>
          <c:extLst>
            <c:ext xmlns:c16="http://schemas.microsoft.com/office/drawing/2014/chart" uri="{C3380CC4-5D6E-409C-BE32-E72D297353CC}">
              <c16:uniqueId val="{00000001-CBE0-2847-B04F-B418517F34DE}"/>
            </c:ext>
          </c:extLst>
        </c:ser>
        <c:dLbls>
          <c:showLegendKey val="0"/>
          <c:showVal val="0"/>
          <c:showCatName val="0"/>
          <c:showSerName val="0"/>
          <c:showPercent val="0"/>
          <c:showBubbleSize val="0"/>
        </c:dLbls>
        <c:axId val="1541886351"/>
        <c:axId val="200657072"/>
      </c:scatterChart>
      <c:valAx>
        <c:axId val="1541886351"/>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200657072"/>
        <c:crosses val="autoZero"/>
        <c:crossBetween val="midCat"/>
      </c:valAx>
      <c:valAx>
        <c:axId val="200657072"/>
        <c:scaling>
          <c:orientation val="minMax"/>
        </c:scaling>
        <c:delete val="0"/>
        <c:axPos val="l"/>
        <c:title>
          <c:tx>
            <c:rich>
              <a:bodyPr/>
              <a:lstStyle/>
              <a:p>
                <a:pPr>
                  <a:defRPr/>
                </a:pPr>
                <a:r>
                  <a:rPr lang="en-US"/>
                  <a:t>Y</a:t>
                </a:r>
              </a:p>
            </c:rich>
          </c:tx>
          <c:overlay val="0"/>
        </c:title>
        <c:numFmt formatCode="General" sourceLinked="1"/>
        <c:majorTickMark val="out"/>
        <c:minorTickMark val="none"/>
        <c:tickLblPos val="nextTo"/>
        <c:crossAx val="154188635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US" b="1">
                <a:solidFill>
                  <a:srgbClr val="C00000"/>
                </a:solidFill>
              </a:rPr>
              <a:t>Demand Vs Forcasted</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lotArea>
      <c:layout/>
      <c:lineChart>
        <c:grouping val="standard"/>
        <c:varyColors val="0"/>
        <c:ser>
          <c:idx val="0"/>
          <c:order val="0"/>
          <c:tx>
            <c:strRef>
              <c:f>'Triple Exponential Smoothing'!$B$2</c:f>
              <c:strCache>
                <c:ptCount val="1"/>
                <c:pt idx="0">
                  <c:v>Demand</c:v>
                </c:pt>
              </c:strCache>
            </c:strRef>
          </c:tx>
          <c:spPr>
            <a:ln w="28575" cap="rnd">
              <a:solidFill>
                <a:schemeClr val="accent1"/>
              </a:solidFill>
              <a:round/>
            </a:ln>
            <a:effectLst/>
          </c:spPr>
          <c:marker>
            <c:symbol val="none"/>
          </c:marker>
          <c:val>
            <c:numRef>
              <c:f>'Triple Exponential Smoothing'!$B$3:$B$174</c:f>
              <c:numCache>
                <c:formatCode>_(* #,##0_);_(* \(#,##0\);_(* "-"??_);_(@_)</c:formatCode>
                <c:ptCount val="172"/>
                <c:pt idx="0">
                  <c:v>47540667.509999998</c:v>
                </c:pt>
                <c:pt idx="1">
                  <c:v>49092326.210000001</c:v>
                </c:pt>
                <c:pt idx="2">
                  <c:v>48336072.189999998</c:v>
                </c:pt>
                <c:pt idx="3">
                  <c:v>49231053.829999998</c:v>
                </c:pt>
                <c:pt idx="4">
                  <c:v>60346458.380000003</c:v>
                </c:pt>
                <c:pt idx="5">
                  <c:v>47465203.75</c:v>
                </c:pt>
                <c:pt idx="6">
                  <c:v>43127603.630000003</c:v>
                </c:pt>
                <c:pt idx="7">
                  <c:v>49032764.130000003</c:v>
                </c:pt>
                <c:pt idx="8">
                  <c:v>47093864.420000002</c:v>
                </c:pt>
                <c:pt idx="9">
                  <c:v>46783412.009999998</c:v>
                </c:pt>
                <c:pt idx="10">
                  <c:v>45504100.600000001</c:v>
                </c:pt>
                <c:pt idx="11">
                  <c:v>45516825.289999999</c:v>
                </c:pt>
                <c:pt idx="12">
                  <c:v>42844698.719999999</c:v>
                </c:pt>
                <c:pt idx="13">
                  <c:v>42207725.579999998</c:v>
                </c:pt>
                <c:pt idx="14">
                  <c:v>43526965.090000004</c:v>
                </c:pt>
                <c:pt idx="15">
                  <c:v>43128785.18</c:v>
                </c:pt>
                <c:pt idx="16">
                  <c:v>50293811.619999997</c:v>
                </c:pt>
                <c:pt idx="17">
                  <c:v>46390888.079999998</c:v>
                </c:pt>
                <c:pt idx="18">
                  <c:v>42739597.670000002</c:v>
                </c:pt>
                <c:pt idx="19">
                  <c:v>43329269.590000004</c:v>
                </c:pt>
                <c:pt idx="20">
                  <c:v>43862045.859999999</c:v>
                </c:pt>
                <c:pt idx="21">
                  <c:v>43762590.869999997</c:v>
                </c:pt>
                <c:pt idx="22">
                  <c:v>43304402.229999997</c:v>
                </c:pt>
                <c:pt idx="23">
                  <c:v>43696048.43</c:v>
                </c:pt>
                <c:pt idx="24">
                  <c:v>42504704.289999999</c:v>
                </c:pt>
                <c:pt idx="25">
                  <c:v>44900700.659999996</c:v>
                </c:pt>
                <c:pt idx="26">
                  <c:v>44418150.630000003</c:v>
                </c:pt>
                <c:pt idx="27">
                  <c:v>44267756.039999999</c:v>
                </c:pt>
                <c:pt idx="28">
                  <c:v>42167175.170000002</c:v>
                </c:pt>
                <c:pt idx="29">
                  <c:v>40900447.560000002</c:v>
                </c:pt>
                <c:pt idx="30">
                  <c:v>41213494.560000002</c:v>
                </c:pt>
                <c:pt idx="31">
                  <c:v>40555745.409999996</c:v>
                </c:pt>
                <c:pt idx="32">
                  <c:v>40045322.75</c:v>
                </c:pt>
                <c:pt idx="33">
                  <c:v>40250740.990000002</c:v>
                </c:pt>
                <c:pt idx="34">
                  <c:v>40547413.75</c:v>
                </c:pt>
                <c:pt idx="35">
                  <c:v>37744433.960000001</c:v>
                </c:pt>
                <c:pt idx="36">
                  <c:v>36953581.43</c:v>
                </c:pt>
                <c:pt idx="37">
                  <c:v>37044007.579999998</c:v>
                </c:pt>
                <c:pt idx="38">
                  <c:v>37503465.100000001</c:v>
                </c:pt>
                <c:pt idx="39">
                  <c:v>37545418.68</c:v>
                </c:pt>
                <c:pt idx="40">
                  <c:v>37206700.189999998</c:v>
                </c:pt>
                <c:pt idx="41">
                  <c:v>36975939.979999997</c:v>
                </c:pt>
                <c:pt idx="42">
                  <c:v>37095732.520000003</c:v>
                </c:pt>
                <c:pt idx="43">
                  <c:v>38369371.490000002</c:v>
                </c:pt>
                <c:pt idx="44">
                  <c:v>37186464.780000001</c:v>
                </c:pt>
                <c:pt idx="45">
                  <c:v>34198811.729999997</c:v>
                </c:pt>
                <c:pt idx="46">
                  <c:v>31082607.98</c:v>
                </c:pt>
                <c:pt idx="47">
                  <c:v>38190146.960000001</c:v>
                </c:pt>
                <c:pt idx="48">
                  <c:v>37186009.770000003</c:v>
                </c:pt>
                <c:pt idx="49">
                  <c:v>34296470.530000001</c:v>
                </c:pt>
                <c:pt idx="50">
                  <c:v>33617884.390000001</c:v>
                </c:pt>
                <c:pt idx="51">
                  <c:v>44371658.039999999</c:v>
                </c:pt>
                <c:pt idx="52">
                  <c:v>42307851.270000003</c:v>
                </c:pt>
                <c:pt idx="53">
                  <c:v>42172188.840000004</c:v>
                </c:pt>
                <c:pt idx="54">
                  <c:v>39929186.119999997</c:v>
                </c:pt>
                <c:pt idx="55">
                  <c:v>42589422.060000002</c:v>
                </c:pt>
                <c:pt idx="56">
                  <c:v>42098793.100000001</c:v>
                </c:pt>
                <c:pt idx="57">
                  <c:v>54840041.460000001</c:v>
                </c:pt>
                <c:pt idx="58">
                  <c:v>43069701.609999999</c:v>
                </c:pt>
                <c:pt idx="59">
                  <c:v>40511720.759999998</c:v>
                </c:pt>
                <c:pt idx="60">
                  <c:v>37741843.770000003</c:v>
                </c:pt>
                <c:pt idx="61">
                  <c:v>38789287.439999998</c:v>
                </c:pt>
                <c:pt idx="62">
                  <c:v>37612473.079999998</c:v>
                </c:pt>
                <c:pt idx="63">
                  <c:v>38884367.649999999</c:v>
                </c:pt>
                <c:pt idx="64">
                  <c:v>39780834.5</c:v>
                </c:pt>
                <c:pt idx="65">
                  <c:v>41480613.840000004</c:v>
                </c:pt>
                <c:pt idx="66">
                  <c:v>38444782.18</c:v>
                </c:pt>
                <c:pt idx="67">
                  <c:v>36545752.170000002</c:v>
                </c:pt>
                <c:pt idx="68">
                  <c:v>45249228.329999998</c:v>
                </c:pt>
                <c:pt idx="69">
                  <c:v>41827169.350000001</c:v>
                </c:pt>
                <c:pt idx="70">
                  <c:v>36518136.200000003</c:v>
                </c:pt>
                <c:pt idx="71">
                  <c:v>35674050.590000004</c:v>
                </c:pt>
                <c:pt idx="72">
                  <c:v>36469776.170000002</c:v>
                </c:pt>
                <c:pt idx="73">
                  <c:v>38573928.090000004</c:v>
                </c:pt>
                <c:pt idx="74">
                  <c:v>37638612.119999997</c:v>
                </c:pt>
                <c:pt idx="75">
                  <c:v>37450282.520000003</c:v>
                </c:pt>
                <c:pt idx="76">
                  <c:v>35562856.030000001</c:v>
                </c:pt>
                <c:pt idx="77">
                  <c:v>36727387.560000002</c:v>
                </c:pt>
                <c:pt idx="78">
                  <c:v>36856080.299999997</c:v>
                </c:pt>
                <c:pt idx="79">
                  <c:v>38738535.25</c:v>
                </c:pt>
                <c:pt idx="80">
                  <c:v>37607549.75</c:v>
                </c:pt>
                <c:pt idx="81">
                  <c:v>37776375.590000004</c:v>
                </c:pt>
                <c:pt idx="82">
                  <c:v>37822445.420000002</c:v>
                </c:pt>
                <c:pt idx="83">
                  <c:v>38631513.520000003</c:v>
                </c:pt>
                <c:pt idx="84">
                  <c:v>37166436.039999999</c:v>
                </c:pt>
                <c:pt idx="85">
                  <c:v>37884257.579999998</c:v>
                </c:pt>
                <c:pt idx="86">
                  <c:v>40194486.539999999</c:v>
                </c:pt>
                <c:pt idx="87">
                  <c:v>37832978.259999998</c:v>
                </c:pt>
                <c:pt idx="88">
                  <c:v>39359659.130000003</c:v>
                </c:pt>
                <c:pt idx="89">
                  <c:v>37744796.200000003</c:v>
                </c:pt>
                <c:pt idx="90">
                  <c:v>35582958.509999998</c:v>
                </c:pt>
                <c:pt idx="91">
                  <c:v>37772503.689999998</c:v>
                </c:pt>
                <c:pt idx="92">
                  <c:v>36576196.009999998</c:v>
                </c:pt>
                <c:pt idx="93">
                  <c:v>39468929.240000002</c:v>
                </c:pt>
                <c:pt idx="94">
                  <c:v>38262004.840000004</c:v>
                </c:pt>
                <c:pt idx="95">
                  <c:v>40541613.909999996</c:v>
                </c:pt>
                <c:pt idx="96">
                  <c:v>38848170.280000001</c:v>
                </c:pt>
                <c:pt idx="97">
                  <c:v>34706184.390000001</c:v>
                </c:pt>
                <c:pt idx="98">
                  <c:v>31923152.899999999</c:v>
                </c:pt>
                <c:pt idx="99">
                  <c:v>38604872.299999997</c:v>
                </c:pt>
                <c:pt idx="100">
                  <c:v>38758873.909999996</c:v>
                </c:pt>
                <c:pt idx="101">
                  <c:v>36758552.939999998</c:v>
                </c:pt>
                <c:pt idx="102">
                  <c:v>35482987.579999998</c:v>
                </c:pt>
                <c:pt idx="103">
                  <c:v>41686223.880000003</c:v>
                </c:pt>
                <c:pt idx="104">
                  <c:v>43253557.229999997</c:v>
                </c:pt>
                <c:pt idx="105">
                  <c:v>44242457.579999998</c:v>
                </c:pt>
                <c:pt idx="106">
                  <c:v>44266056.450000003</c:v>
                </c:pt>
                <c:pt idx="107">
                  <c:v>45740575.450000003</c:v>
                </c:pt>
                <c:pt idx="108">
                  <c:v>46522947.25</c:v>
                </c:pt>
                <c:pt idx="109">
                  <c:v>55094740</c:v>
                </c:pt>
                <c:pt idx="110">
                  <c:v>44520251.399999999</c:v>
                </c:pt>
                <c:pt idx="111">
                  <c:v>43835019.670000002</c:v>
                </c:pt>
                <c:pt idx="112">
                  <c:v>45866860.07</c:v>
                </c:pt>
                <c:pt idx="113">
                  <c:v>45801637.450000003</c:v>
                </c:pt>
                <c:pt idx="114">
                  <c:v>46471164.350000001</c:v>
                </c:pt>
                <c:pt idx="115">
                  <c:v>47594981.539999999</c:v>
                </c:pt>
                <c:pt idx="116">
                  <c:v>46185113.630000003</c:v>
                </c:pt>
                <c:pt idx="117">
                  <c:v>45099002.159999996</c:v>
                </c:pt>
                <c:pt idx="118">
                  <c:v>45173804.509999998</c:v>
                </c:pt>
                <c:pt idx="119">
                  <c:v>46470171.119999997</c:v>
                </c:pt>
                <c:pt idx="120">
                  <c:v>46202011.280000001</c:v>
                </c:pt>
                <c:pt idx="121">
                  <c:v>55002695.18</c:v>
                </c:pt>
                <c:pt idx="122">
                  <c:v>45907794.259999998</c:v>
                </c:pt>
                <c:pt idx="123">
                  <c:v>46224534.060000002</c:v>
                </c:pt>
                <c:pt idx="124">
                  <c:v>44993949.009999998</c:v>
                </c:pt>
                <c:pt idx="125">
                  <c:v>47265162.979999997</c:v>
                </c:pt>
                <c:pt idx="126">
                  <c:v>44921037.329999998</c:v>
                </c:pt>
                <c:pt idx="127">
                  <c:v>44434677.340000004</c:v>
                </c:pt>
                <c:pt idx="128">
                  <c:v>42543629.810000002</c:v>
                </c:pt>
                <c:pt idx="129">
                  <c:v>43490977.710000001</c:v>
                </c:pt>
                <c:pt idx="130">
                  <c:v>43563162.520000003</c:v>
                </c:pt>
                <c:pt idx="131">
                  <c:v>41326646.119999997</c:v>
                </c:pt>
                <c:pt idx="132">
                  <c:v>38584356.420000002</c:v>
                </c:pt>
                <c:pt idx="133">
                  <c:v>39071786.780000001</c:v>
                </c:pt>
                <c:pt idx="134">
                  <c:v>37871217.789999999</c:v>
                </c:pt>
                <c:pt idx="135">
                  <c:v>41180904.850000001</c:v>
                </c:pt>
                <c:pt idx="136">
                  <c:v>41669514.880000003</c:v>
                </c:pt>
                <c:pt idx="137">
                  <c:v>40375757.299999997</c:v>
                </c:pt>
                <c:pt idx="138">
                  <c:v>39962736.509999998</c:v>
                </c:pt>
                <c:pt idx="139">
                  <c:v>40866792.450000003</c:v>
                </c:pt>
                <c:pt idx="140">
                  <c:v>39339169.640000001</c:v>
                </c:pt>
                <c:pt idx="141">
                  <c:v>39550188.689999998</c:v>
                </c:pt>
                <c:pt idx="142">
                  <c:v>40009559.670000002</c:v>
                </c:pt>
                <c:pt idx="143">
                  <c:v>39365292.030000001</c:v>
                </c:pt>
                <c:pt idx="144">
                  <c:v>38846932.590000004</c:v>
                </c:pt>
                <c:pt idx="145">
                  <c:v>39444161.950000003</c:v>
                </c:pt>
                <c:pt idx="146">
                  <c:v>38161026.280000001</c:v>
                </c:pt>
                <c:pt idx="147">
                  <c:v>39140644.609999999</c:v>
                </c:pt>
                <c:pt idx="148">
                  <c:v>38888893.840000004</c:v>
                </c:pt>
                <c:pt idx="149">
                  <c:v>35140620.93</c:v>
                </c:pt>
                <c:pt idx="150">
                  <c:v>31702930.109999999</c:v>
                </c:pt>
                <c:pt idx="151">
                  <c:v>39977224.649999999</c:v>
                </c:pt>
                <c:pt idx="152">
                  <c:v>39410826.859999999</c:v>
                </c:pt>
                <c:pt idx="153">
                  <c:v>39211518.560000002</c:v>
                </c:pt>
                <c:pt idx="154">
                  <c:v>37947363.740000002</c:v>
                </c:pt>
                <c:pt idx="155">
                  <c:v>42127147.219999999</c:v>
                </c:pt>
                <c:pt idx="156">
                  <c:v>44769251.369999997</c:v>
                </c:pt>
                <c:pt idx="157">
                  <c:v>48384034.399999999</c:v>
                </c:pt>
                <c:pt idx="158">
                  <c:v>44225641.32</c:v>
                </c:pt>
                <c:pt idx="159">
                  <c:v>47220895.350000001</c:v>
                </c:pt>
                <c:pt idx="160">
                  <c:v>48357164.799999997</c:v>
                </c:pt>
                <c:pt idx="161">
                  <c:v>58320595.020000003</c:v>
                </c:pt>
                <c:pt idx="162">
                  <c:v>45836075.799999997</c:v>
                </c:pt>
                <c:pt idx="163">
                  <c:v>46400679.799999997</c:v>
                </c:pt>
                <c:pt idx="164">
                  <c:v>47852195.270000003</c:v>
                </c:pt>
                <c:pt idx="165">
                  <c:v>48516326.060000002</c:v>
                </c:pt>
                <c:pt idx="166">
                  <c:v>47989422.399999999</c:v>
                </c:pt>
                <c:pt idx="167">
                  <c:v>46853491.219999999</c:v>
                </c:pt>
                <c:pt idx="168">
                  <c:v>44575365.909999996</c:v>
                </c:pt>
                <c:pt idx="169">
                  <c:v>47342018.090000004</c:v>
                </c:pt>
                <c:pt idx="170">
                  <c:v>47370306.07</c:v>
                </c:pt>
                <c:pt idx="171">
                  <c:v>47610874.490000002</c:v>
                </c:pt>
              </c:numCache>
            </c:numRef>
          </c:val>
          <c:smooth val="0"/>
          <c:extLst>
            <c:ext xmlns:c16="http://schemas.microsoft.com/office/drawing/2014/chart" uri="{C3380CC4-5D6E-409C-BE32-E72D297353CC}">
              <c16:uniqueId val="{00000000-BF28-7B49-8FD2-5430D8B26451}"/>
            </c:ext>
          </c:extLst>
        </c:ser>
        <c:ser>
          <c:idx val="1"/>
          <c:order val="1"/>
          <c:tx>
            <c:strRef>
              <c:f>'Triple Exponential Smoothing'!$F$2</c:f>
              <c:strCache>
                <c:ptCount val="1"/>
                <c:pt idx="0">
                  <c:v> Forecast </c:v>
                </c:pt>
              </c:strCache>
            </c:strRef>
          </c:tx>
          <c:spPr>
            <a:ln w="28575" cap="rnd">
              <a:solidFill>
                <a:schemeClr val="accent2"/>
              </a:solidFill>
              <a:round/>
            </a:ln>
            <a:effectLst/>
          </c:spPr>
          <c:marker>
            <c:symbol val="none"/>
          </c:marker>
          <c:val>
            <c:numRef>
              <c:f>'Triple Exponential Smoothing'!$F$3:$F$178</c:f>
              <c:numCache>
                <c:formatCode>_(* #,##0_);_(* \(#,##0\);_(* "-"??_);_(@_)</c:formatCode>
                <c:ptCount val="176"/>
                <c:pt idx="0">
                  <c:v>47266189.286127254</c:v>
                </c:pt>
                <c:pt idx="1">
                  <c:v>48807243.475228809</c:v>
                </c:pt>
                <c:pt idx="2">
                  <c:v>48053741.563091785</c:v>
                </c:pt>
                <c:pt idx="3">
                  <c:v>48941806.128592052</c:v>
                </c:pt>
                <c:pt idx="4">
                  <c:v>59989808.804611169</c:v>
                </c:pt>
                <c:pt idx="5">
                  <c:v>47183015.073281281</c:v>
                </c:pt>
                <c:pt idx="6">
                  <c:v>42869669.257228419</c:v>
                </c:pt>
                <c:pt idx="7">
                  <c:v>48737748.201949753</c:v>
                </c:pt>
                <c:pt idx="8">
                  <c:v>46808799.134263568</c:v>
                </c:pt>
                <c:pt idx="9">
                  <c:v>46498501.331687085</c:v>
                </c:pt>
                <c:pt idx="10">
                  <c:v>45225282.922082067</c:v>
                </c:pt>
                <c:pt idx="11">
                  <c:v>45236210.228831246</c:v>
                </c:pt>
                <c:pt idx="12">
                  <c:v>42578918.989751793</c:v>
                </c:pt>
                <c:pt idx="13">
                  <c:v>41944262.857478969</c:v>
                </c:pt>
                <c:pt idx="14">
                  <c:v>43253561.006951623</c:v>
                </c:pt>
                <c:pt idx="15">
                  <c:v>42856169.800118715</c:v>
                </c:pt>
                <c:pt idx="16">
                  <c:v>49973884.136409849</c:v>
                </c:pt>
                <c:pt idx="17">
                  <c:v>46093898.555542901</c:v>
                </c:pt>
                <c:pt idx="18">
                  <c:v>42464220.381784603</c:v>
                </c:pt>
                <c:pt idx="19">
                  <c:v>43048282.522469461</c:v>
                </c:pt>
                <c:pt idx="20">
                  <c:v>43575747.152597256</c:v>
                </c:pt>
                <c:pt idx="21">
                  <c:v>43475064.573438734</c:v>
                </c:pt>
                <c:pt idx="22">
                  <c:v>43018004.624380372</c:v>
                </c:pt>
                <c:pt idx="23">
                  <c:v>43405136.665154956</c:v>
                </c:pt>
                <c:pt idx="24">
                  <c:v>42219827.441561289</c:v>
                </c:pt>
                <c:pt idx="25">
                  <c:v>44597734.710780628</c:v>
                </c:pt>
                <c:pt idx="26">
                  <c:v>44116404.649952859</c:v>
                </c:pt>
                <c:pt idx="27">
                  <c:v>43964974.851533592</c:v>
                </c:pt>
                <c:pt idx="28">
                  <c:v>41876775.199219666</c:v>
                </c:pt>
                <c:pt idx="29">
                  <c:v>40616818.060836747</c:v>
                </c:pt>
                <c:pt idx="30">
                  <c:v>40925698.435662739</c:v>
                </c:pt>
                <c:pt idx="31">
                  <c:v>40270550.855117686</c:v>
                </c:pt>
                <c:pt idx="32">
                  <c:v>39761723.252245598</c:v>
                </c:pt>
                <c:pt idx="33">
                  <c:v>39963653.585447885</c:v>
                </c:pt>
                <c:pt idx="34">
                  <c:v>40256132.780158266</c:v>
                </c:pt>
                <c:pt idx="35">
                  <c:v>37471326.8687144</c:v>
                </c:pt>
                <c:pt idx="36">
                  <c:v>36684247.889389262</c:v>
                </c:pt>
                <c:pt idx="37">
                  <c:v>36772032.705388539</c:v>
                </c:pt>
                <c:pt idx="38">
                  <c:v>37226080.373955935</c:v>
                </c:pt>
                <c:pt idx="39">
                  <c:v>37265654.450993292</c:v>
                </c:pt>
                <c:pt idx="40">
                  <c:v>36927378.547970936</c:v>
                </c:pt>
                <c:pt idx="41">
                  <c:v>36696251.015418753</c:v>
                </c:pt>
                <c:pt idx="42">
                  <c:v>36812998.814735606</c:v>
                </c:pt>
                <c:pt idx="43">
                  <c:v>38074684.425123036</c:v>
                </c:pt>
                <c:pt idx="44">
                  <c:v>36898652.278737664</c:v>
                </c:pt>
                <c:pt idx="45">
                  <c:v>33932058.20551198</c:v>
                </c:pt>
                <c:pt idx="46">
                  <c:v>30838255.127051115</c:v>
                </c:pt>
                <c:pt idx="47">
                  <c:v>37887539.976376362</c:v>
                </c:pt>
                <c:pt idx="48">
                  <c:v>36889005.89335572</c:v>
                </c:pt>
                <c:pt idx="49">
                  <c:v>34020339.892810315</c:v>
                </c:pt>
                <c:pt idx="50">
                  <c:v>33345020.336706351</c:v>
                </c:pt>
                <c:pt idx="51">
                  <c:v>44008562.43106357</c:v>
                </c:pt>
                <c:pt idx="52">
                  <c:v>33108569.040890511</c:v>
                </c:pt>
                <c:pt idx="53">
                  <c:v>38115612.590454385</c:v>
                </c:pt>
                <c:pt idx="54">
                  <c:v>39191898.211169228</c:v>
                </c:pt>
                <c:pt idx="55">
                  <c:v>40237515.127691559</c:v>
                </c:pt>
                <c:pt idx="56">
                  <c:v>50549543.784335323</c:v>
                </c:pt>
                <c:pt idx="57">
                  <c:v>36974672.627767809</c:v>
                </c:pt>
                <c:pt idx="58">
                  <c:v>40432935.971651047</c:v>
                </c:pt>
                <c:pt idx="59">
                  <c:v>47336242.090539701</c:v>
                </c:pt>
                <c:pt idx="60">
                  <c:v>42812868.504534684</c:v>
                </c:pt>
                <c:pt idx="61">
                  <c:v>40476848.994789049</c:v>
                </c:pt>
                <c:pt idx="62">
                  <c:v>38716785.669348754</c:v>
                </c:pt>
                <c:pt idx="63">
                  <c:v>38290607.335245959</c:v>
                </c:pt>
                <c:pt idx="64">
                  <c:v>36300079.477455042</c:v>
                </c:pt>
                <c:pt idx="65">
                  <c:v>37234075.582551003</c:v>
                </c:pt>
                <c:pt idx="66">
                  <c:v>40298177.275133684</c:v>
                </c:pt>
                <c:pt idx="67">
                  <c:v>39233269.586238958</c:v>
                </c:pt>
                <c:pt idx="68">
                  <c:v>44506372.513695344</c:v>
                </c:pt>
                <c:pt idx="69">
                  <c:v>41396630.510900423</c:v>
                </c:pt>
                <c:pt idx="70">
                  <c:v>38361241.655869581</c:v>
                </c:pt>
                <c:pt idx="71">
                  <c:v>38160311.933854468</c:v>
                </c:pt>
                <c:pt idx="72">
                  <c:v>37613803.476397946</c:v>
                </c:pt>
                <c:pt idx="73">
                  <c:v>37077207.438320443</c:v>
                </c:pt>
                <c:pt idx="74">
                  <c:v>37338346.506308727</c:v>
                </c:pt>
                <c:pt idx="75">
                  <c:v>37838364.291198231</c:v>
                </c:pt>
                <c:pt idx="76">
                  <c:v>36682991.692370959</c:v>
                </c:pt>
                <c:pt idx="77">
                  <c:v>38286209.546441466</c:v>
                </c:pt>
                <c:pt idx="78">
                  <c:v>37250338.090791017</c:v>
                </c:pt>
                <c:pt idx="79">
                  <c:v>36975060.056853592</c:v>
                </c:pt>
                <c:pt idx="80">
                  <c:v>35944432.57657139</c:v>
                </c:pt>
                <c:pt idx="81">
                  <c:v>35571688.898873523</c:v>
                </c:pt>
                <c:pt idx="82">
                  <c:v>36820337.537049033</c:v>
                </c:pt>
                <c:pt idx="83">
                  <c:v>36702213.378370307</c:v>
                </c:pt>
                <c:pt idx="84">
                  <c:v>37105400.210033625</c:v>
                </c:pt>
                <c:pt idx="85">
                  <c:v>37396106.783799991</c:v>
                </c:pt>
                <c:pt idx="86">
                  <c:v>37956192.429499775</c:v>
                </c:pt>
                <c:pt idx="87">
                  <c:v>36289045.731968112</c:v>
                </c:pt>
                <c:pt idx="88">
                  <c:v>36257752.073709927</c:v>
                </c:pt>
                <c:pt idx="89">
                  <c:v>37763946.842952944</c:v>
                </c:pt>
                <c:pt idx="90">
                  <c:v>38352087.842468388</c:v>
                </c:pt>
                <c:pt idx="91">
                  <c:v>37352185.505176999</c:v>
                </c:pt>
                <c:pt idx="92">
                  <c:v>37301941.460538112</c:v>
                </c:pt>
                <c:pt idx="93">
                  <c:v>36880007.940685049</c:v>
                </c:pt>
                <c:pt idx="94">
                  <c:v>38209690.583141319</c:v>
                </c:pt>
                <c:pt idx="95">
                  <c:v>39681253.494428001</c:v>
                </c:pt>
                <c:pt idx="96">
                  <c:v>38945728.661014967</c:v>
                </c:pt>
                <c:pt idx="97">
                  <c:v>35910571.572298482</c:v>
                </c:pt>
                <c:pt idx="98">
                  <c:v>32296231.263887681</c:v>
                </c:pt>
                <c:pt idx="99">
                  <c:v>39628320.647023767</c:v>
                </c:pt>
                <c:pt idx="100">
                  <c:v>38300758.137987047</c:v>
                </c:pt>
                <c:pt idx="101">
                  <c:v>35624088.030447952</c:v>
                </c:pt>
                <c:pt idx="102">
                  <c:v>35513264.272940576</c:v>
                </c:pt>
                <c:pt idx="103">
                  <c:v>47033032.412886463</c:v>
                </c:pt>
                <c:pt idx="104">
                  <c:v>38537367.705498911</c:v>
                </c:pt>
                <c:pt idx="105">
                  <c:v>38574539.174782567</c:v>
                </c:pt>
                <c:pt idx="106">
                  <c:v>38611478.441113621</c:v>
                </c:pt>
                <c:pt idx="107">
                  <c:v>42727701.029888719</c:v>
                </c:pt>
                <c:pt idx="108">
                  <c:v>47765440.284130581</c:v>
                </c:pt>
                <c:pt idx="109">
                  <c:v>51508101.570844404</c:v>
                </c:pt>
                <c:pt idx="110">
                  <c:v>39802224.09671361</c:v>
                </c:pt>
                <c:pt idx="111">
                  <c:v>42523212.04995349</c:v>
                </c:pt>
                <c:pt idx="112">
                  <c:v>42152266.230359465</c:v>
                </c:pt>
                <c:pt idx="113">
                  <c:v>45518193.629957117</c:v>
                </c:pt>
                <c:pt idx="114">
                  <c:v>44923039.935746633</c:v>
                </c:pt>
                <c:pt idx="115">
                  <c:v>46905665.152845368</c:v>
                </c:pt>
                <c:pt idx="116">
                  <c:v>46562825.232342295</c:v>
                </c:pt>
                <c:pt idx="117">
                  <c:v>46395689.534934998</c:v>
                </c:pt>
                <c:pt idx="118">
                  <c:v>43709231.993740946</c:v>
                </c:pt>
                <c:pt idx="119">
                  <c:v>43595430.793363102</c:v>
                </c:pt>
                <c:pt idx="120">
                  <c:v>55003711.743311659</c:v>
                </c:pt>
                <c:pt idx="121">
                  <c:v>47438006.767587833</c:v>
                </c:pt>
                <c:pt idx="122">
                  <c:v>45410403.50920213</c:v>
                </c:pt>
                <c:pt idx="123">
                  <c:v>46069703.996304087</c:v>
                </c:pt>
                <c:pt idx="124">
                  <c:v>47868966.367131427</c:v>
                </c:pt>
                <c:pt idx="125">
                  <c:v>48627712.439276114</c:v>
                </c:pt>
                <c:pt idx="126">
                  <c:v>47017427.296039671</c:v>
                </c:pt>
                <c:pt idx="127">
                  <c:v>46357553.224317051</c:v>
                </c:pt>
                <c:pt idx="128">
                  <c:v>44059031.655994579</c:v>
                </c:pt>
                <c:pt idx="129">
                  <c:v>45850219.126553722</c:v>
                </c:pt>
                <c:pt idx="130">
                  <c:v>45332402.204507671</c:v>
                </c:pt>
                <c:pt idx="131">
                  <c:v>46054720.501031689</c:v>
                </c:pt>
                <c:pt idx="132">
                  <c:v>42150457.249618918</c:v>
                </c:pt>
                <c:pt idx="133">
                  <c:v>39928217.957726233</c:v>
                </c:pt>
                <c:pt idx="134">
                  <c:v>39311839.116588049</c:v>
                </c:pt>
                <c:pt idx="135">
                  <c:v>38746523.498959027</c:v>
                </c:pt>
                <c:pt idx="136">
                  <c:v>38375313.674140155</c:v>
                </c:pt>
                <c:pt idx="137">
                  <c:v>40371836.268600032</c:v>
                </c:pt>
                <c:pt idx="138">
                  <c:v>41853246.903507546</c:v>
                </c:pt>
                <c:pt idx="139">
                  <c:v>38072663.083486639</c:v>
                </c:pt>
                <c:pt idx="140">
                  <c:v>39468569.06795989</c:v>
                </c:pt>
                <c:pt idx="141">
                  <c:v>37959266.582267113</c:v>
                </c:pt>
                <c:pt idx="142">
                  <c:v>37786075.625746302</c:v>
                </c:pt>
                <c:pt idx="143">
                  <c:v>40764385.399714112</c:v>
                </c:pt>
                <c:pt idx="144">
                  <c:v>39375550.958597466</c:v>
                </c:pt>
                <c:pt idx="145">
                  <c:v>41011720.456695542</c:v>
                </c:pt>
                <c:pt idx="146">
                  <c:v>39258771.264615215</c:v>
                </c:pt>
                <c:pt idx="147">
                  <c:v>40773284.882657208</c:v>
                </c:pt>
                <c:pt idx="148">
                  <c:v>38548138.59810552</c:v>
                </c:pt>
                <c:pt idx="149">
                  <c:v>35160880.77231767</c:v>
                </c:pt>
                <c:pt idx="150">
                  <c:v>32489848.601314306</c:v>
                </c:pt>
                <c:pt idx="151">
                  <c:v>39403525.419028945</c:v>
                </c:pt>
                <c:pt idx="152">
                  <c:v>39586632.561125122</c:v>
                </c:pt>
                <c:pt idx="153">
                  <c:v>37016404.225895502</c:v>
                </c:pt>
                <c:pt idx="154">
                  <c:v>36740219.356712922</c:v>
                </c:pt>
                <c:pt idx="155">
                  <c:v>46443779.992240518</c:v>
                </c:pt>
                <c:pt idx="156">
                  <c:v>43643846.238563493</c:v>
                </c:pt>
                <c:pt idx="157">
                  <c:v>42617419.588593066</c:v>
                </c:pt>
                <c:pt idx="158">
                  <c:v>42532932.521289192</c:v>
                </c:pt>
                <c:pt idx="159">
                  <c:v>43452811.643301703</c:v>
                </c:pt>
                <c:pt idx="160">
                  <c:v>46506373.443207107</c:v>
                </c:pt>
                <c:pt idx="161">
                  <c:v>54279707.187402472</c:v>
                </c:pt>
                <c:pt idx="162">
                  <c:v>43148211.514034815</c:v>
                </c:pt>
                <c:pt idx="163">
                  <c:v>43130875.696384758</c:v>
                </c:pt>
                <c:pt idx="164">
                  <c:v>44912565.351317383</c:v>
                </c:pt>
                <c:pt idx="165">
                  <c:v>46096790.670112923</c:v>
                </c:pt>
                <c:pt idx="166">
                  <c:v>47122132.452181749</c:v>
                </c:pt>
                <c:pt idx="167">
                  <c:v>48425303.078218408</c:v>
                </c:pt>
                <c:pt idx="168">
                  <c:v>46604937.500497289</c:v>
                </c:pt>
                <c:pt idx="169">
                  <c:v>45294468.69393748</c:v>
                </c:pt>
                <c:pt idx="170">
                  <c:v>45501936.930138253</c:v>
                </c:pt>
                <c:pt idx="171">
                  <c:v>46355435.365742102</c:v>
                </c:pt>
                <c:pt idx="172">
                  <c:v>50877918.302477092</c:v>
                </c:pt>
                <c:pt idx="173">
                  <c:v>55890640.923313349</c:v>
                </c:pt>
                <c:pt idx="174">
                  <c:v>46553877.917925946</c:v>
                </c:pt>
                <c:pt idx="175">
                  <c:v>46868177.36440973</c:v>
                </c:pt>
              </c:numCache>
            </c:numRef>
          </c:val>
          <c:smooth val="0"/>
          <c:extLst>
            <c:ext xmlns:c16="http://schemas.microsoft.com/office/drawing/2014/chart" uri="{C3380CC4-5D6E-409C-BE32-E72D297353CC}">
              <c16:uniqueId val="{00000001-BF28-7B49-8FD2-5430D8B26451}"/>
            </c:ext>
          </c:extLst>
        </c:ser>
        <c:dLbls>
          <c:showLegendKey val="0"/>
          <c:showVal val="0"/>
          <c:showCatName val="0"/>
          <c:showSerName val="0"/>
          <c:showPercent val="0"/>
          <c:showBubbleSize val="0"/>
        </c:dLbls>
        <c:smooth val="0"/>
        <c:axId val="172347103"/>
        <c:axId val="1511637647"/>
      </c:lineChart>
      <c:catAx>
        <c:axId val="1723471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637647"/>
        <c:crosses val="autoZero"/>
        <c:auto val="1"/>
        <c:lblAlgn val="ctr"/>
        <c:lblOffset val="100"/>
        <c:noMultiLvlLbl val="0"/>
      </c:catAx>
      <c:valAx>
        <c:axId val="1511637647"/>
        <c:scaling>
          <c:orientation val="minMax"/>
          <c:min val="3000000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4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US" b="1">
                <a:solidFill>
                  <a:srgbClr val="C00000"/>
                </a:solidFill>
              </a:rPr>
              <a:t>Demand Over 52</a:t>
            </a:r>
            <a:r>
              <a:rPr lang="en-US" b="1" baseline="0">
                <a:solidFill>
                  <a:srgbClr val="C00000"/>
                </a:solidFill>
              </a:rPr>
              <a:t> weeks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lotArea>
      <c:layout/>
      <c:lineChart>
        <c:grouping val="standard"/>
        <c:varyColors val="0"/>
        <c:ser>
          <c:idx val="0"/>
          <c:order val="0"/>
          <c:tx>
            <c:strRef>
              <c:f>'Triple Exponential Smoothing'!$B$2</c:f>
              <c:strCache>
                <c:ptCount val="1"/>
                <c:pt idx="0">
                  <c:v>Demand</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1"/>
            <c:dispEq val="1"/>
            <c:trendlineLbl>
              <c:layout>
                <c:manualLayout>
                  <c:x val="-4.9406926353134588E-2"/>
                  <c:y val="-0.58096704590151682"/>
                </c:manualLayout>
              </c:layout>
              <c:tx>
                <c:rich>
                  <a:bodyPr rot="0" spcFirstLastPara="1" vertOverflow="ellipsis" vert="horz" wrap="square" anchor="ctr" anchorCtr="1"/>
                  <a:lstStyle/>
                  <a:p>
                    <a:pPr>
                      <a:defRPr sz="900" b="1" i="0" u="none" strike="noStrike" kern="1200" baseline="0">
                        <a:solidFill>
                          <a:srgbClr val="C00000"/>
                        </a:solidFill>
                        <a:latin typeface="+mn-lt"/>
                        <a:ea typeface="+mn-ea"/>
                        <a:cs typeface="+mn-cs"/>
                      </a:defRPr>
                    </a:pPr>
                    <a:r>
                      <a:rPr lang="en-US" sz="1600" b="1" baseline="0">
                        <a:solidFill>
                          <a:srgbClr val="C00000"/>
                        </a:solidFill>
                      </a:rPr>
                      <a:t>y = -285980x + 5E+07</a:t>
                    </a:r>
                    <a:br>
                      <a:rPr lang="en-US" sz="1600" b="1" baseline="0">
                        <a:solidFill>
                          <a:srgbClr val="C00000"/>
                        </a:solidFill>
                      </a:rPr>
                    </a:br>
                    <a:r>
                      <a:rPr lang="en-US" sz="1600" b="1" baseline="0">
                        <a:solidFill>
                          <a:srgbClr val="C00000"/>
                        </a:solidFill>
                      </a:rPr>
                      <a:t>R² = 0.6995</a:t>
                    </a:r>
                    <a:endParaRPr lang="en-US" sz="1600" b="1">
                      <a:solidFill>
                        <a:srgbClr val="C00000"/>
                      </a:solidFill>
                    </a:endParaRPr>
                  </a:p>
                </c:rich>
              </c:tx>
              <c:numFmt formatCode="General" sourceLinked="0"/>
              <c:spPr>
                <a:noFill/>
                <a:ln>
                  <a:noFill/>
                </a:ln>
                <a:effectLst/>
              </c:spPr>
              <c:txPr>
                <a:bodyPr rot="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trendlineLbl>
          </c:trendline>
          <c:val>
            <c:numRef>
              <c:f>'Triple Exponential Smoothing'!$B$3:$B$54</c:f>
              <c:numCache>
                <c:formatCode>_(* #,##0_);_(* \(#,##0\);_(* "-"??_);_(@_)</c:formatCode>
                <c:ptCount val="52"/>
                <c:pt idx="0">
                  <c:v>47540667.509999998</c:v>
                </c:pt>
                <c:pt idx="1">
                  <c:v>49092326.210000001</c:v>
                </c:pt>
                <c:pt idx="2">
                  <c:v>48336072.189999998</c:v>
                </c:pt>
                <c:pt idx="3">
                  <c:v>49231053.829999998</c:v>
                </c:pt>
                <c:pt idx="4">
                  <c:v>60346458.380000003</c:v>
                </c:pt>
                <c:pt idx="5">
                  <c:v>47465203.75</c:v>
                </c:pt>
                <c:pt idx="6">
                  <c:v>43127603.630000003</c:v>
                </c:pt>
                <c:pt idx="7">
                  <c:v>49032764.130000003</c:v>
                </c:pt>
                <c:pt idx="8">
                  <c:v>47093864.420000002</c:v>
                </c:pt>
                <c:pt idx="9">
                  <c:v>46783412.009999998</c:v>
                </c:pt>
                <c:pt idx="10">
                  <c:v>45504100.600000001</c:v>
                </c:pt>
                <c:pt idx="11">
                  <c:v>45516825.289999999</c:v>
                </c:pt>
                <c:pt idx="12">
                  <c:v>42844698.719999999</c:v>
                </c:pt>
                <c:pt idx="13">
                  <c:v>42207725.579999998</c:v>
                </c:pt>
                <c:pt idx="14">
                  <c:v>43526965.090000004</c:v>
                </c:pt>
                <c:pt idx="15">
                  <c:v>43128785.18</c:v>
                </c:pt>
                <c:pt idx="16">
                  <c:v>50293811.619999997</c:v>
                </c:pt>
                <c:pt idx="17">
                  <c:v>46390888.079999998</c:v>
                </c:pt>
                <c:pt idx="18">
                  <c:v>42739597.670000002</c:v>
                </c:pt>
                <c:pt idx="19">
                  <c:v>43329269.590000004</c:v>
                </c:pt>
                <c:pt idx="20">
                  <c:v>43862045.859999999</c:v>
                </c:pt>
                <c:pt idx="21">
                  <c:v>43762590.869999997</c:v>
                </c:pt>
                <c:pt idx="22">
                  <c:v>43304402.229999997</c:v>
                </c:pt>
                <c:pt idx="23">
                  <c:v>43696048.43</c:v>
                </c:pt>
                <c:pt idx="24">
                  <c:v>42504704.289999999</c:v>
                </c:pt>
                <c:pt idx="25">
                  <c:v>44900700.659999996</c:v>
                </c:pt>
                <c:pt idx="26">
                  <c:v>44418150.630000003</c:v>
                </c:pt>
                <c:pt idx="27">
                  <c:v>44267756.039999999</c:v>
                </c:pt>
                <c:pt idx="28">
                  <c:v>42167175.170000002</c:v>
                </c:pt>
                <c:pt idx="29">
                  <c:v>40900447.560000002</c:v>
                </c:pt>
                <c:pt idx="30">
                  <c:v>41213494.560000002</c:v>
                </c:pt>
                <c:pt idx="31">
                  <c:v>40555745.409999996</c:v>
                </c:pt>
                <c:pt idx="32">
                  <c:v>40045322.75</c:v>
                </c:pt>
                <c:pt idx="33">
                  <c:v>40250740.990000002</c:v>
                </c:pt>
                <c:pt idx="34">
                  <c:v>40547413.75</c:v>
                </c:pt>
                <c:pt idx="35">
                  <c:v>37744433.960000001</c:v>
                </c:pt>
                <c:pt idx="36">
                  <c:v>36953581.43</c:v>
                </c:pt>
                <c:pt idx="37">
                  <c:v>37044007.579999998</c:v>
                </c:pt>
                <c:pt idx="38">
                  <c:v>37503465.100000001</c:v>
                </c:pt>
                <c:pt idx="39">
                  <c:v>37545418.68</c:v>
                </c:pt>
                <c:pt idx="40">
                  <c:v>37206700.189999998</c:v>
                </c:pt>
                <c:pt idx="41">
                  <c:v>36975939.979999997</c:v>
                </c:pt>
                <c:pt idx="42">
                  <c:v>37095732.520000003</c:v>
                </c:pt>
                <c:pt idx="43">
                  <c:v>38369371.490000002</c:v>
                </c:pt>
                <c:pt idx="44">
                  <c:v>37186464.780000001</c:v>
                </c:pt>
                <c:pt idx="45">
                  <c:v>34198811.729999997</c:v>
                </c:pt>
                <c:pt idx="46">
                  <c:v>31082607.98</c:v>
                </c:pt>
                <c:pt idx="47">
                  <c:v>38190146.960000001</c:v>
                </c:pt>
                <c:pt idx="48">
                  <c:v>37186009.770000003</c:v>
                </c:pt>
                <c:pt idx="49">
                  <c:v>34296470.530000001</c:v>
                </c:pt>
                <c:pt idx="50">
                  <c:v>33617884.390000001</c:v>
                </c:pt>
                <c:pt idx="51">
                  <c:v>44371658.039999999</c:v>
                </c:pt>
              </c:numCache>
            </c:numRef>
          </c:val>
          <c:smooth val="0"/>
          <c:extLst>
            <c:ext xmlns:c16="http://schemas.microsoft.com/office/drawing/2014/chart" uri="{C3380CC4-5D6E-409C-BE32-E72D297353CC}">
              <c16:uniqueId val="{00000000-78E0-8348-8F0F-7DAD895DB38F}"/>
            </c:ext>
          </c:extLst>
        </c:ser>
        <c:dLbls>
          <c:showLegendKey val="0"/>
          <c:showVal val="0"/>
          <c:showCatName val="0"/>
          <c:showSerName val="0"/>
          <c:showPercent val="0"/>
          <c:showBubbleSize val="0"/>
        </c:dLbls>
        <c:smooth val="0"/>
        <c:axId val="307852096"/>
        <c:axId val="348440976"/>
      </c:lineChart>
      <c:catAx>
        <c:axId val="3078520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440976"/>
        <c:crosses val="autoZero"/>
        <c:auto val="1"/>
        <c:lblAlgn val="ctr"/>
        <c:lblOffset val="100"/>
        <c:noMultiLvlLbl val="0"/>
      </c:catAx>
      <c:valAx>
        <c:axId val="348440976"/>
        <c:scaling>
          <c:orientation val="minMax"/>
          <c:min val="3000000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85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473138</xdr:colOff>
      <xdr:row>8</xdr:row>
      <xdr:rowOff>166253</xdr:rowOff>
    </xdr:from>
    <xdr:to>
      <xdr:col>17</xdr:col>
      <xdr:colOff>1</xdr:colOff>
      <xdr:row>18</xdr:row>
      <xdr:rowOff>92363</xdr:rowOff>
    </xdr:to>
    <xdr:graphicFrame macro="">
      <xdr:nvGraphicFramePr>
        <xdr:cNvPr id="2" name="Chart 6">
          <a:extLst>
            <a:ext uri="{FF2B5EF4-FFF2-40B4-BE49-F238E27FC236}">
              <a16:creationId xmlns:a16="http://schemas.microsoft.com/office/drawing/2014/main" id="{250FC2F1-6EF3-1C48-B3CF-A8145A06B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460130</xdr:colOff>
      <xdr:row>1</xdr:row>
      <xdr:rowOff>4082</xdr:rowOff>
    </xdr:from>
    <xdr:to>
      <xdr:col>16</xdr:col>
      <xdr:colOff>663039</xdr:colOff>
      <xdr:row>8</xdr:row>
      <xdr:rowOff>105559</xdr:rowOff>
    </xdr:to>
    <xdr:sp macro="" textlink="">
      <xdr:nvSpPr>
        <xdr:cNvPr id="4" name="Text Box 5">
          <a:extLst>
            <a:ext uri="{FF2B5EF4-FFF2-40B4-BE49-F238E27FC236}">
              <a16:creationId xmlns:a16="http://schemas.microsoft.com/office/drawing/2014/main" id="{79104A2C-B92D-114D-8AD9-3B6C099C6D30}"/>
            </a:ext>
          </a:extLst>
        </xdr:cNvPr>
        <xdr:cNvSpPr txBox="1">
          <a:spLocks noChangeArrowheads="1"/>
        </xdr:cNvSpPr>
      </xdr:nvSpPr>
      <xdr:spPr bwMode="auto">
        <a:xfrm>
          <a:off x="9361675" y="200355"/>
          <a:ext cx="5132819" cy="1475386"/>
        </a:xfrm>
        <a:prstGeom prst="rect">
          <a:avLst/>
        </a:prstGeom>
        <a:solidFill>
          <a:schemeClr val="accent1">
            <a:lumMod val="40000"/>
            <a:lumOff val="60000"/>
          </a:schemeClr>
        </a:solidFill>
        <a:ln>
          <a:solidFill>
            <a:schemeClr val="tx1"/>
          </a:solidFill>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algn="l" rtl="0">
            <a:defRPr sz="1000"/>
          </a:pPr>
          <a:r>
            <a:rPr lang="en-US" sz="1000" b="1" i="0" strike="noStrike">
              <a:solidFill>
                <a:srgbClr val="000000"/>
              </a:solidFill>
              <a:latin typeface="Arial"/>
              <a:cs typeface="Arial"/>
            </a:rPr>
            <a:t>Method and Reasons:</a:t>
          </a:r>
          <a:r>
            <a:rPr lang="en-US" sz="1000" b="1" i="0" strike="noStrike" baseline="0">
              <a:solidFill>
                <a:srgbClr val="000000"/>
              </a:solidFill>
              <a:latin typeface="Arial"/>
              <a:cs typeface="Arial"/>
            </a:rPr>
            <a:t> </a:t>
          </a:r>
        </a:p>
        <a:p>
          <a:pPr algn="l" rtl="0">
            <a:defRPr sz="1000"/>
          </a:pPr>
          <a:r>
            <a:rPr lang="en-US" sz="1000">
              <a:effectLst/>
              <a:latin typeface="+mn-lt"/>
              <a:ea typeface="+mn-ea"/>
              <a:cs typeface="+mn-cs"/>
            </a:rPr>
            <a:t>We employed a two-step forecasting approach to capture both trend and seasonality in our demand data. First, we conducted regression analysis on the 2021 demand dataset, comprising 52 periods per season, to calculate the seasonal index. Subsequently, we applied triple exponential smoothing (Holt-Winters method) to incorporate both trend and seasonality into our forecast model. To assess the model's performance, we utilized a holdout sample of 34 data points. The model's accuracy was evaluated using multiple metrics, including absolute error, and we established a 95% confidence interval for our predictions to quantify uncertainty."</a:t>
          </a:r>
          <a:r>
            <a:rPr lang="en-US">
              <a:effectLst/>
            </a:rPr>
            <a:t> </a:t>
          </a:r>
          <a:endParaRPr lang="en-US" sz="1000" b="1" i="0" strike="noStrike">
            <a:solidFill>
              <a:srgbClr val="000000"/>
            </a:solidFill>
            <a:latin typeface="Arial"/>
            <a:cs typeface="Arial"/>
          </a:endParaRPr>
        </a:p>
      </xdr:txBody>
    </xdr:sp>
    <xdr:clientData/>
  </xdr:twoCellAnchor>
  <xdr:twoCellAnchor>
    <xdr:from>
      <xdr:col>0</xdr:col>
      <xdr:colOff>144647</xdr:colOff>
      <xdr:row>18</xdr:row>
      <xdr:rowOff>149266</xdr:rowOff>
    </xdr:from>
    <xdr:to>
      <xdr:col>16</xdr:col>
      <xdr:colOff>704271</xdr:colOff>
      <xdr:row>34</xdr:row>
      <xdr:rowOff>34636</xdr:rowOff>
    </xdr:to>
    <xdr:graphicFrame macro="">
      <xdr:nvGraphicFramePr>
        <xdr:cNvPr id="5" name="Chart 4">
          <a:extLst>
            <a:ext uri="{FF2B5EF4-FFF2-40B4-BE49-F238E27FC236}">
              <a16:creationId xmlns:a16="http://schemas.microsoft.com/office/drawing/2014/main" id="{1DC9C881-EF4F-3E46-B0E5-64A522A3C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27</xdr:col>
      <xdr:colOff>685800</xdr:colOff>
      <xdr:row>23</xdr:row>
      <xdr:rowOff>76200</xdr:rowOff>
    </xdr:from>
    <xdr:to>
      <xdr:col>33</xdr:col>
      <xdr:colOff>685800</xdr:colOff>
      <xdr:row>33</xdr:row>
      <xdr:rowOff>127000</xdr:rowOff>
    </xdr:to>
    <xdr:graphicFrame macro="">
      <xdr:nvGraphicFramePr>
        <xdr:cNvPr id="2" name="Chart 1">
          <a:extLst>
            <a:ext uri="{FF2B5EF4-FFF2-40B4-BE49-F238E27FC236}">
              <a16:creationId xmlns:a16="http://schemas.microsoft.com/office/drawing/2014/main" id="{5C4B99EB-8067-9DF8-01D2-7D2313320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685800</xdr:colOff>
      <xdr:row>11</xdr:row>
      <xdr:rowOff>177800</xdr:rowOff>
    </xdr:from>
    <xdr:to>
      <xdr:col>33</xdr:col>
      <xdr:colOff>685800</xdr:colOff>
      <xdr:row>21</xdr:row>
      <xdr:rowOff>177800</xdr:rowOff>
    </xdr:to>
    <xdr:graphicFrame macro="">
      <xdr:nvGraphicFramePr>
        <xdr:cNvPr id="3" name="Chart 2">
          <a:extLst>
            <a:ext uri="{FF2B5EF4-FFF2-40B4-BE49-F238E27FC236}">
              <a16:creationId xmlns:a16="http://schemas.microsoft.com/office/drawing/2014/main" id="{65DF25B5-8F77-53AA-BB2D-5AA7DF4E2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660400</xdr:colOff>
      <xdr:row>0</xdr:row>
      <xdr:rowOff>177800</xdr:rowOff>
    </xdr:from>
    <xdr:to>
      <xdr:col>33</xdr:col>
      <xdr:colOff>660400</xdr:colOff>
      <xdr:row>10</xdr:row>
      <xdr:rowOff>190500</xdr:rowOff>
    </xdr:to>
    <xdr:graphicFrame macro="">
      <xdr:nvGraphicFramePr>
        <xdr:cNvPr id="4" name="Chart 3">
          <a:extLst>
            <a:ext uri="{FF2B5EF4-FFF2-40B4-BE49-F238E27FC236}">
              <a16:creationId xmlns:a16="http://schemas.microsoft.com/office/drawing/2014/main" id="{F2799275-9BDC-8890-18C5-096B2BB2D8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325707</xdr:colOff>
      <xdr:row>55</xdr:row>
      <xdr:rowOff>163861</xdr:rowOff>
    </xdr:from>
    <xdr:to>
      <xdr:col>18</xdr:col>
      <xdr:colOff>94575</xdr:colOff>
      <xdr:row>73</xdr:row>
      <xdr:rowOff>167104</xdr:rowOff>
    </xdr:to>
    <xdr:graphicFrame macro="">
      <xdr:nvGraphicFramePr>
        <xdr:cNvPr id="6" name="Chart 5">
          <a:extLst>
            <a:ext uri="{FF2B5EF4-FFF2-40B4-BE49-F238E27FC236}">
              <a16:creationId xmlns:a16="http://schemas.microsoft.com/office/drawing/2014/main" id="{1D1499B1-9844-40EE-C5ED-D8E312949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1449692</xdr:colOff>
      <xdr:row>13</xdr:row>
      <xdr:rowOff>67553</xdr:rowOff>
    </xdr:from>
    <xdr:to>
      <xdr:col>17</xdr:col>
      <xdr:colOff>81064</xdr:colOff>
      <xdr:row>30</xdr:row>
      <xdr:rowOff>169152</xdr:rowOff>
    </xdr:to>
    <xdr:graphicFrame macro="">
      <xdr:nvGraphicFramePr>
        <xdr:cNvPr id="10" name="Chart 9">
          <a:extLst>
            <a:ext uri="{FF2B5EF4-FFF2-40B4-BE49-F238E27FC236}">
              <a16:creationId xmlns:a16="http://schemas.microsoft.com/office/drawing/2014/main" id="{7BF0CAFB-5531-7CD5-2366-1E13B7186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497191</xdr:colOff>
      <xdr:row>7</xdr:row>
      <xdr:rowOff>36601</xdr:rowOff>
    </xdr:from>
    <xdr:to>
      <xdr:col>14</xdr:col>
      <xdr:colOff>2739957</xdr:colOff>
      <xdr:row>10</xdr:row>
      <xdr:rowOff>185219</xdr:rowOff>
    </xdr:to>
    <xdr:sp macro="" textlink="">
      <xdr:nvSpPr>
        <xdr:cNvPr id="11" name="TextBox 10">
          <a:extLst>
            <a:ext uri="{FF2B5EF4-FFF2-40B4-BE49-F238E27FC236}">
              <a16:creationId xmlns:a16="http://schemas.microsoft.com/office/drawing/2014/main" id="{91E35EEA-18EC-CC99-CD49-5BAE8DA89752}"/>
            </a:ext>
          </a:extLst>
        </xdr:cNvPr>
        <xdr:cNvSpPr txBox="1"/>
      </xdr:nvSpPr>
      <xdr:spPr>
        <a:xfrm>
          <a:off x="15610191" y="1433601"/>
          <a:ext cx="2242766" cy="748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Calculated</a:t>
          </a:r>
          <a:r>
            <a:rPr lang="en-US" sz="1100" baseline="0">
              <a:solidFill>
                <a:srgbClr val="FF0000"/>
              </a:solidFill>
            </a:rPr>
            <a:t> MAE, RMSE and R-squared values only for the Testing data/ Holdout data</a:t>
          </a:r>
          <a:endParaRPr lang="en-US" sz="1100">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akhelifa3/Desktop/RMPO/Alexandre%20HomeWork/MGT%206400%20-%20Project.Version%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ark/Dropbox/MyDocs/Teaching/MGT%206362/Forecasting/Forecasting%20Project%201%20S17%20-%20Solution%20with%20Regress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ark/Dropbox/MyDocs/Teaching/MGT%206362/Forecasting/Forecasting%20Project%201%20S17%20Solution%20with%20Excel%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
      <sheetName val="Data"/>
      <sheetName val="1. Triple Expo Smooth"/>
      <sheetName val="2. Regression"/>
      <sheetName val="2.1 Reg Results"/>
      <sheetName val="2.2 Errror Anal"/>
      <sheetName val="3.1Demand Acutal and Forecast"/>
      <sheetName val="3.2Energy Demand by year"/>
      <sheetName val="3.3Demand per Year"/>
    </sheetNames>
    <sheetDataSet>
      <sheetData sheetId="0"/>
      <sheetData sheetId="1"/>
      <sheetData sheetId="2"/>
      <sheetData sheetId="3"/>
      <sheetData sheetId="4"/>
      <sheetData sheetId="5"/>
      <sheetData sheetId="6" refreshError="1"/>
      <sheetData sheetId="7" refreshError="1"/>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heetName val="Triple Expo Smooth"/>
      <sheetName val="Demand - Acutal and Forecast"/>
      <sheetName val="Reg Data"/>
      <sheetName val="Reg Model"/>
      <sheetName val="Reg Mod Results"/>
      <sheetName val="Model Comparisons"/>
    </sheetNames>
    <sheetDataSet>
      <sheetData sheetId="0" refreshError="1"/>
      <sheetData sheetId="1"/>
      <sheetData sheetId="2"/>
      <sheetData sheetId="3" refreshError="1"/>
      <sheetData sheetId="4"/>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heetName val="Solution"/>
    </sheet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EFCF5-D8C1-4147-A703-DB1B91C97B71}">
  <dimension ref="A1:Q49"/>
  <sheetViews>
    <sheetView zoomScale="110" zoomScaleNormal="110" workbookViewId="0">
      <selection activeCell="H39" sqref="H39"/>
    </sheetView>
  </sheetViews>
  <sheetFormatPr baseColWidth="10" defaultColWidth="9.1640625" defaultRowHeight="15" x14ac:dyDescent="0.2"/>
  <cols>
    <col min="1" max="2" width="14.5" style="2" bestFit="1" customWidth="1"/>
    <col min="3" max="4" width="13" style="2" customWidth="1"/>
    <col min="5" max="5" width="15.5" style="2" customWidth="1"/>
    <col min="6" max="6" width="12" style="2" customWidth="1"/>
    <col min="7" max="7" width="11.6640625" style="2" customWidth="1"/>
    <col min="8" max="8" width="13.33203125" style="2" customWidth="1"/>
    <col min="9" max="16384" width="9.1640625" style="2"/>
  </cols>
  <sheetData>
    <row r="1" spans="1:17" s="1" customFormat="1" x14ac:dyDescent="0.2">
      <c r="A1" s="3"/>
      <c r="B1" s="3"/>
      <c r="C1" s="3"/>
      <c r="D1" s="3"/>
      <c r="E1" s="3"/>
      <c r="F1" s="3"/>
      <c r="G1" s="3"/>
      <c r="H1" s="3"/>
      <c r="I1" s="3"/>
      <c r="J1" s="3"/>
      <c r="K1" s="3"/>
      <c r="L1" s="3"/>
      <c r="M1" s="3"/>
      <c r="N1" s="3"/>
      <c r="O1" s="3"/>
      <c r="P1" s="3"/>
      <c r="Q1" s="3"/>
    </row>
    <row r="2" spans="1:17" s="1" customFormat="1" x14ac:dyDescent="0.2">
      <c r="A2" s="35" t="s">
        <v>0</v>
      </c>
      <c r="B2" s="3"/>
      <c r="C2" s="3"/>
      <c r="D2" s="3"/>
      <c r="E2" s="3"/>
      <c r="F2" s="3"/>
      <c r="G2" s="3"/>
      <c r="H2" s="3"/>
      <c r="I2" s="4" t="s">
        <v>1</v>
      </c>
      <c r="J2" s="2"/>
      <c r="K2" s="3"/>
      <c r="L2" s="3"/>
      <c r="M2" s="3"/>
      <c r="N2" s="3"/>
      <c r="O2" s="3"/>
      <c r="P2" s="3"/>
      <c r="Q2" s="3"/>
    </row>
    <row r="3" spans="1:17" s="1" customFormat="1" x14ac:dyDescent="0.2">
      <c r="A3" s="3"/>
      <c r="B3" s="3"/>
      <c r="C3" s="3"/>
      <c r="D3" s="3"/>
      <c r="E3" s="3"/>
      <c r="F3" s="3"/>
      <c r="G3" s="3"/>
      <c r="H3" s="3"/>
      <c r="I3" s="5" t="s">
        <v>2</v>
      </c>
      <c r="J3" s="2"/>
      <c r="K3" s="3"/>
      <c r="L3" s="3"/>
      <c r="M3" s="3"/>
      <c r="N3" s="3"/>
      <c r="O3" s="3"/>
      <c r="P3" s="3"/>
      <c r="Q3" s="3"/>
    </row>
    <row r="4" spans="1:17" x14ac:dyDescent="0.2">
      <c r="A4" s="6" t="s">
        <v>3</v>
      </c>
      <c r="B4" s="6" t="s">
        <v>4</v>
      </c>
      <c r="C4" s="6" t="s">
        <v>5</v>
      </c>
      <c r="D4" s="6" t="s">
        <v>6</v>
      </c>
      <c r="E4" s="5" t="s">
        <v>7</v>
      </c>
      <c r="F4" s="5" t="s">
        <v>8</v>
      </c>
      <c r="G4" s="5" t="s">
        <v>9</v>
      </c>
      <c r="H4" s="5" t="s">
        <v>10</v>
      </c>
      <c r="I4" s="5" t="s">
        <v>11</v>
      </c>
      <c r="J4" s="3"/>
      <c r="K4" s="3"/>
      <c r="L4" s="3"/>
      <c r="M4" s="3"/>
      <c r="N4" s="3"/>
      <c r="O4" s="3"/>
      <c r="P4" s="3"/>
      <c r="Q4" s="3"/>
    </row>
    <row r="5" spans="1:17" x14ac:dyDescent="0.2">
      <c r="A5" s="48" t="e">
        <f>#REF!</f>
        <v>#REF!</v>
      </c>
      <c r="B5" s="47"/>
      <c r="C5" s="36">
        <f>'Triple Exponential Smoothing'!F175</f>
        <v>50877918.302477092</v>
      </c>
      <c r="D5" s="87">
        <f>B5-C5</f>
        <v>-50877918.302477092</v>
      </c>
      <c r="E5" s="87">
        <f>ABS(D5)</f>
        <v>50877918.302477092</v>
      </c>
      <c r="F5" s="88">
        <f>C5+'Triple Exponential Smoothing'!$P$52</f>
        <v>46721413.172313787</v>
      </c>
      <c r="G5" s="88">
        <f>C5+'Triple Exponential Smoothing'!$P$51</f>
        <v>55034423.432640396</v>
      </c>
      <c r="H5" s="87">
        <f>G5-F5</f>
        <v>8313010.260326609</v>
      </c>
      <c r="I5" s="3">
        <f>IF(B5&gt;F5,IF(B5&lt;G5,0,1),1)</f>
        <v>1</v>
      </c>
      <c r="J5" s="3"/>
      <c r="K5" s="3"/>
      <c r="L5" s="3"/>
      <c r="M5" s="3"/>
      <c r="N5" s="3"/>
      <c r="O5" s="3"/>
      <c r="P5" s="3"/>
      <c r="Q5" s="3"/>
    </row>
    <row r="6" spans="1:17" x14ac:dyDescent="0.2">
      <c r="A6" s="48" t="e">
        <f>#REF!</f>
        <v>#REF!</v>
      </c>
      <c r="B6" s="47"/>
      <c r="C6" s="36">
        <f>'Triple Exponential Smoothing'!F176</f>
        <v>55890640.923313349</v>
      </c>
      <c r="D6" s="87">
        <f t="shared" ref="D6:D8" si="0">B6-C6</f>
        <v>-55890640.923313349</v>
      </c>
      <c r="E6" s="87">
        <f t="shared" ref="E6" si="1">ABS(D6)</f>
        <v>55890640.923313349</v>
      </c>
      <c r="F6" s="88">
        <f>C6+'Triple Exponential Smoothing'!$P$52</f>
        <v>51734135.793150045</v>
      </c>
      <c r="G6" s="88">
        <f>C6+'Triple Exponential Smoothing'!$P$51</f>
        <v>60047146.053476654</v>
      </c>
      <c r="H6" s="87">
        <f t="shared" ref="H6" si="2">G6-F6</f>
        <v>8313010.260326609</v>
      </c>
      <c r="I6" s="3">
        <f t="shared" ref="I6:I8" si="3">IF(B6&gt;F6,IF(B6&lt;G6,0,1),1)</f>
        <v>1</v>
      </c>
      <c r="J6" s="3"/>
      <c r="K6" s="3"/>
      <c r="L6" s="3"/>
      <c r="M6" s="3"/>
      <c r="N6" s="3"/>
      <c r="O6" s="3"/>
      <c r="P6" s="3"/>
      <c r="Q6" s="3"/>
    </row>
    <row r="7" spans="1:17" x14ac:dyDescent="0.2">
      <c r="A7" s="48" t="e">
        <f>#REF!</f>
        <v>#REF!</v>
      </c>
      <c r="B7" s="81"/>
      <c r="C7" s="36">
        <f>'Triple Exponential Smoothing'!F177</f>
        <v>46553877.917925946</v>
      </c>
      <c r="D7" s="87">
        <f t="shared" si="0"/>
        <v>-46553877.917925946</v>
      </c>
      <c r="E7" s="87">
        <f>ABS(D7)</f>
        <v>46553877.917925946</v>
      </c>
      <c r="F7" s="88">
        <f>C7+'Triple Exponential Smoothing'!$P$52</f>
        <v>42397372.787762642</v>
      </c>
      <c r="G7" s="88">
        <f>C7+'Triple Exponential Smoothing'!$P$51</f>
        <v>50710383.048089251</v>
      </c>
      <c r="H7" s="87">
        <f>G7-F7</f>
        <v>8313010.260326609</v>
      </c>
      <c r="I7" s="3">
        <f t="shared" si="3"/>
        <v>1</v>
      </c>
      <c r="J7" s="3"/>
      <c r="K7" s="3"/>
      <c r="L7" s="3"/>
      <c r="M7" s="3"/>
      <c r="N7" s="3"/>
      <c r="O7" s="3"/>
      <c r="P7" s="3"/>
      <c r="Q7" s="3"/>
    </row>
    <row r="8" spans="1:17" x14ac:dyDescent="0.2">
      <c r="A8" s="48" t="e">
        <f>#REF!</f>
        <v>#REF!</v>
      </c>
      <c r="B8" s="81"/>
      <c r="C8" s="36">
        <f>'Triple Exponential Smoothing'!F178</f>
        <v>46868177.36440973</v>
      </c>
      <c r="D8" s="87">
        <f t="shared" si="0"/>
        <v>-46868177.36440973</v>
      </c>
      <c r="E8" s="87">
        <f t="shared" ref="E8" si="4">ABS(D8)</f>
        <v>46868177.36440973</v>
      </c>
      <c r="F8" s="88">
        <f>C8+'Triple Exponential Smoothing'!$P$52</f>
        <v>42711672.234246425</v>
      </c>
      <c r="G8" s="88">
        <f>C8+'Triple Exponential Smoothing'!$P$51</f>
        <v>51024682.494573034</v>
      </c>
      <c r="H8" s="87">
        <f t="shared" ref="H8" si="5">G8-F8</f>
        <v>8313010.260326609</v>
      </c>
      <c r="I8" s="3">
        <f t="shared" si="3"/>
        <v>1</v>
      </c>
      <c r="J8" s="3"/>
      <c r="K8" s="3"/>
      <c r="L8" s="3"/>
      <c r="M8" s="3"/>
      <c r="N8" s="3"/>
      <c r="O8" s="3"/>
      <c r="P8" s="3"/>
      <c r="Q8" s="3"/>
    </row>
    <row r="9" spans="1:17" x14ac:dyDescent="0.2">
      <c r="A9" s="3"/>
      <c r="B9" s="3"/>
      <c r="C9" s="3"/>
      <c r="D9" s="89"/>
      <c r="E9" s="90"/>
      <c r="F9" s="90"/>
      <c r="G9" s="89"/>
      <c r="H9" s="89"/>
      <c r="I9" s="3"/>
      <c r="J9" s="3"/>
      <c r="K9" s="3"/>
      <c r="L9" s="3"/>
      <c r="M9" s="3"/>
      <c r="N9" s="3"/>
      <c r="O9" s="3"/>
      <c r="P9" s="3"/>
      <c r="Q9" s="3"/>
    </row>
    <row r="10" spans="1:17" ht="18.75" customHeight="1" x14ac:dyDescent="0.2">
      <c r="A10" s="4" t="s">
        <v>12</v>
      </c>
      <c r="B10" s="3"/>
      <c r="C10" s="3"/>
      <c r="D10" s="89"/>
      <c r="E10" s="91">
        <f>SUM(E5:E8)</f>
        <v>200190614.50812614</v>
      </c>
      <c r="F10" s="89"/>
      <c r="G10" s="89"/>
      <c r="H10" s="91">
        <f>SUM(H5:H8)</f>
        <v>33252041.041306436</v>
      </c>
      <c r="I10" s="9">
        <f>SUM(I5:I8)</f>
        <v>4</v>
      </c>
      <c r="K10" s="3"/>
      <c r="L10" s="3"/>
      <c r="M10" s="3"/>
      <c r="N10" s="3"/>
      <c r="O10" s="3"/>
      <c r="P10" s="3"/>
      <c r="Q10" s="3"/>
    </row>
    <row r="11" spans="1:17" ht="18.75" customHeight="1" x14ac:dyDescent="0.2">
      <c r="A11" s="3"/>
      <c r="B11" s="3"/>
      <c r="C11" s="3"/>
      <c r="D11" s="3"/>
      <c r="E11" s="8"/>
      <c r="F11" s="8"/>
      <c r="G11" s="3"/>
      <c r="H11" s="3"/>
      <c r="I11" s="3"/>
      <c r="J11" s="3"/>
      <c r="K11" s="3"/>
      <c r="L11" s="3"/>
      <c r="M11" s="3"/>
      <c r="N11" s="3"/>
      <c r="O11" s="3"/>
      <c r="P11" s="3"/>
      <c r="Q11" s="3"/>
    </row>
    <row r="12" spans="1:17" ht="18.75" customHeight="1" x14ac:dyDescent="0.2">
      <c r="A12" s="3"/>
      <c r="B12" s="3"/>
      <c r="C12" s="3"/>
      <c r="D12" s="3"/>
      <c r="E12" s="8"/>
      <c r="F12" s="8"/>
      <c r="G12" s="3"/>
      <c r="H12" s="3"/>
      <c r="I12" s="3"/>
      <c r="J12" s="3"/>
      <c r="K12" s="3"/>
      <c r="L12" s="3"/>
      <c r="M12" s="3"/>
      <c r="N12" s="3"/>
      <c r="O12" s="3"/>
      <c r="P12" s="3"/>
      <c r="Q12" s="3"/>
    </row>
    <row r="13" spans="1:17" ht="25.5" customHeight="1" x14ac:dyDescent="0.2">
      <c r="A13" s="4" t="s">
        <v>13</v>
      </c>
      <c r="B13" s="3"/>
      <c r="C13" s="3"/>
      <c r="D13" s="3"/>
      <c r="E13" s="90">
        <f>E10</f>
        <v>200190614.50812614</v>
      </c>
      <c r="F13" s="8"/>
      <c r="G13" s="3"/>
      <c r="H13" s="3"/>
      <c r="I13" s="3"/>
      <c r="J13" s="3"/>
      <c r="K13" s="3"/>
      <c r="L13" s="3"/>
      <c r="M13" s="3"/>
      <c r="N13" s="3"/>
      <c r="O13" s="3"/>
      <c r="P13" s="3"/>
      <c r="Q13" s="3"/>
    </row>
    <row r="14" spans="1:17" ht="18.75" customHeight="1" x14ac:dyDescent="0.2">
      <c r="A14" s="4" t="s">
        <v>14</v>
      </c>
      <c r="B14" s="3"/>
      <c r="C14" s="3"/>
      <c r="D14" s="3"/>
      <c r="E14" s="90">
        <f>H10</f>
        <v>33252041.041306436</v>
      </c>
      <c r="F14" s="8"/>
      <c r="G14" s="3"/>
      <c r="H14" s="3"/>
      <c r="I14" s="3"/>
      <c r="J14" s="3"/>
      <c r="K14" s="3"/>
      <c r="L14" s="3"/>
      <c r="M14" s="3"/>
      <c r="N14" s="3"/>
      <c r="O14" s="3"/>
      <c r="P14" s="3"/>
      <c r="Q14" s="3"/>
    </row>
    <row r="15" spans="1:17" ht="18.75" customHeight="1" x14ac:dyDescent="0.2">
      <c r="A15" s="4" t="s">
        <v>15</v>
      </c>
      <c r="B15" s="3"/>
      <c r="C15" s="3"/>
      <c r="D15" s="3"/>
      <c r="E15" s="87">
        <f>I10*10000000</f>
        <v>40000000</v>
      </c>
      <c r="F15" s="8"/>
      <c r="G15" s="3"/>
      <c r="H15" s="3"/>
      <c r="I15" s="3"/>
      <c r="J15" s="3"/>
      <c r="K15" s="3"/>
      <c r="L15" s="3"/>
      <c r="M15" s="3"/>
      <c r="N15" s="3"/>
      <c r="O15" s="3"/>
      <c r="P15" s="3"/>
      <c r="Q15" s="3"/>
    </row>
    <row r="16" spans="1:17" ht="18.75" customHeight="1" x14ac:dyDescent="0.2">
      <c r="A16" s="3"/>
      <c r="B16" s="3"/>
      <c r="C16" s="3"/>
      <c r="D16" s="3"/>
      <c r="E16" s="8"/>
      <c r="F16" s="8"/>
      <c r="G16" s="3"/>
      <c r="H16" s="3"/>
      <c r="I16" s="3"/>
      <c r="J16" s="3"/>
      <c r="K16" s="3"/>
      <c r="L16" s="3"/>
      <c r="M16" s="3"/>
      <c r="N16" s="3"/>
      <c r="O16" s="3"/>
      <c r="P16" s="3"/>
      <c r="Q16" s="3"/>
    </row>
    <row r="17" spans="1:17" x14ac:dyDescent="0.2">
      <c r="A17" s="4" t="s">
        <v>16</v>
      </c>
      <c r="B17" s="3"/>
      <c r="C17" s="3"/>
      <c r="D17" s="3"/>
      <c r="E17" s="92">
        <f>SUM(E13:E15)</f>
        <v>273442655.54943258</v>
      </c>
      <c r="F17" s="8"/>
      <c r="G17" s="3"/>
      <c r="H17" s="3"/>
      <c r="I17" s="3"/>
      <c r="J17" s="3"/>
      <c r="K17" s="3"/>
      <c r="L17" s="3"/>
      <c r="M17" s="3"/>
      <c r="N17" s="3"/>
      <c r="O17" s="3"/>
      <c r="P17" s="3"/>
      <c r="Q17" s="3"/>
    </row>
    <row r="18" spans="1:17" x14ac:dyDescent="0.2">
      <c r="A18" s="3"/>
      <c r="B18" s="3"/>
      <c r="C18" s="3"/>
      <c r="D18" s="3"/>
      <c r="E18" s="8"/>
      <c r="F18" s="8"/>
      <c r="G18" s="3"/>
      <c r="H18" s="3"/>
      <c r="I18" s="3"/>
      <c r="J18" s="3"/>
      <c r="K18" s="3"/>
      <c r="L18" s="3"/>
      <c r="M18" s="3"/>
      <c r="N18" s="3"/>
      <c r="O18" s="3"/>
      <c r="P18" s="3"/>
      <c r="Q18" s="3"/>
    </row>
    <row r="19" spans="1:17" ht="15" customHeight="1" x14ac:dyDescent="0.2">
      <c r="A19" s="3"/>
      <c r="B19" s="3"/>
      <c r="C19" s="3"/>
      <c r="D19" s="3"/>
      <c r="E19" s="8"/>
      <c r="F19" s="8"/>
      <c r="G19" s="3"/>
      <c r="H19" s="3"/>
      <c r="I19" s="3"/>
      <c r="J19" s="3"/>
      <c r="K19" s="3"/>
      <c r="L19" s="3"/>
      <c r="M19" s="3"/>
      <c r="N19" s="3"/>
      <c r="O19" s="3"/>
      <c r="P19" s="3"/>
      <c r="Q19" s="3"/>
    </row>
    <row r="20" spans="1:17" ht="15" customHeight="1" x14ac:dyDescent="0.2">
      <c r="A20" s="3"/>
      <c r="B20" s="3"/>
      <c r="C20" s="3"/>
      <c r="D20" s="3"/>
      <c r="E20" s="8"/>
      <c r="F20" s="8"/>
      <c r="G20" s="3"/>
      <c r="H20" s="3"/>
      <c r="I20" s="3"/>
      <c r="J20" s="3"/>
      <c r="K20" s="3"/>
      <c r="L20" s="3"/>
      <c r="M20" s="3"/>
      <c r="N20" s="3"/>
      <c r="O20" s="3"/>
      <c r="P20" s="3"/>
      <c r="Q20" s="3"/>
    </row>
    <row r="21" spans="1:17" ht="15" customHeight="1" x14ac:dyDescent="0.2">
      <c r="A21" s="3"/>
      <c r="B21" s="3"/>
      <c r="C21" s="3"/>
      <c r="D21" s="3"/>
      <c r="E21" s="8"/>
      <c r="F21" s="8"/>
      <c r="G21" s="3"/>
      <c r="H21" s="3"/>
      <c r="I21" s="3"/>
      <c r="J21" s="3"/>
      <c r="K21" s="3"/>
      <c r="L21" s="3"/>
      <c r="M21" s="3"/>
      <c r="N21" s="3"/>
      <c r="O21" s="3"/>
      <c r="P21" s="3"/>
      <c r="Q21" s="3"/>
    </row>
    <row r="22" spans="1:17" x14ac:dyDescent="0.2">
      <c r="A22" s="3"/>
      <c r="B22" s="3"/>
      <c r="C22" s="3"/>
      <c r="D22" s="3"/>
      <c r="E22" s="8"/>
      <c r="F22" s="8"/>
      <c r="G22" s="3"/>
      <c r="H22" s="3"/>
      <c r="I22" s="3"/>
      <c r="J22" s="3"/>
      <c r="K22" s="3"/>
      <c r="L22" s="3"/>
      <c r="M22" s="3"/>
      <c r="N22" s="3"/>
      <c r="O22" s="3"/>
      <c r="P22" s="3"/>
      <c r="Q22" s="3"/>
    </row>
    <row r="23" spans="1:17" s="3" customFormat="1" x14ac:dyDescent="0.2"/>
    <row r="24" spans="1:17" s="3" customFormat="1" x14ac:dyDescent="0.2"/>
    <row r="25" spans="1:17" s="3" customFormat="1" x14ac:dyDescent="0.2"/>
    <row r="26" spans="1:17" s="3" customFormat="1" x14ac:dyDescent="0.2"/>
    <row r="27" spans="1:17" s="3" customFormat="1" x14ac:dyDescent="0.2">
      <c r="A27" s="2"/>
      <c r="B27" s="2"/>
      <c r="C27" s="2"/>
      <c r="D27" s="2"/>
      <c r="E27" s="2"/>
      <c r="F27" s="2"/>
      <c r="G27" s="2"/>
      <c r="H27" s="2"/>
      <c r="I27" s="2"/>
      <c r="J27" s="2"/>
      <c r="K27" s="2"/>
      <c r="L27" s="2"/>
      <c r="M27" s="2"/>
      <c r="N27" s="2"/>
      <c r="O27" s="2"/>
      <c r="P27" s="2"/>
      <c r="Q27" s="2"/>
    </row>
    <row r="28" spans="1:17" s="3" customFormat="1" x14ac:dyDescent="0.2">
      <c r="A28" s="2"/>
      <c r="B28" s="2"/>
      <c r="C28" s="2"/>
      <c r="D28" s="2"/>
      <c r="E28" s="2"/>
      <c r="F28" s="2"/>
      <c r="G28" s="2"/>
      <c r="H28" s="2"/>
      <c r="I28" s="2"/>
      <c r="J28" s="2"/>
      <c r="K28" s="2"/>
      <c r="L28" s="2"/>
      <c r="M28" s="2"/>
      <c r="N28" s="2"/>
      <c r="O28" s="2"/>
      <c r="P28" s="2"/>
      <c r="Q28" s="2"/>
    </row>
    <row r="29" spans="1:17" s="3" customFormat="1" x14ac:dyDescent="0.2">
      <c r="A29" s="2"/>
      <c r="B29" s="2"/>
      <c r="C29" s="2"/>
      <c r="D29" s="2"/>
      <c r="E29" s="2"/>
      <c r="F29" s="2"/>
      <c r="G29" s="2"/>
      <c r="H29" s="2"/>
      <c r="I29" s="2"/>
      <c r="J29" s="2"/>
      <c r="K29" s="2"/>
      <c r="L29" s="2"/>
      <c r="M29" s="2"/>
      <c r="N29" s="2"/>
      <c r="O29" s="2"/>
      <c r="P29" s="2"/>
      <c r="Q29" s="2"/>
    </row>
    <row r="30" spans="1:17" s="3" customFormat="1" x14ac:dyDescent="0.2">
      <c r="A30" s="2"/>
      <c r="B30" s="2"/>
      <c r="C30" s="2"/>
      <c r="D30" s="2"/>
      <c r="E30" s="2"/>
      <c r="F30" s="2"/>
      <c r="G30" s="2"/>
      <c r="H30" s="2"/>
      <c r="I30" s="2"/>
      <c r="J30" s="2"/>
      <c r="K30" s="2"/>
      <c r="L30" s="2"/>
      <c r="M30" s="2"/>
      <c r="N30" s="2"/>
      <c r="O30" s="2"/>
      <c r="P30" s="2"/>
      <c r="Q30" s="2"/>
    </row>
    <row r="31" spans="1:17" s="3" customFormat="1" x14ac:dyDescent="0.2">
      <c r="A31" s="2"/>
      <c r="B31" s="2"/>
      <c r="C31" s="2"/>
      <c r="D31" s="2"/>
      <c r="E31" s="2"/>
      <c r="F31" s="2"/>
      <c r="G31" s="2"/>
      <c r="H31" s="2"/>
      <c r="I31" s="2"/>
      <c r="J31" s="2"/>
      <c r="K31" s="2"/>
      <c r="L31" s="2"/>
      <c r="M31" s="2"/>
      <c r="N31" s="2"/>
      <c r="O31" s="2"/>
      <c r="P31" s="2"/>
      <c r="Q31" s="2"/>
    </row>
    <row r="32" spans="1:17" s="3" customFormat="1" x14ac:dyDescent="0.2">
      <c r="A32" s="2"/>
      <c r="B32" s="2"/>
      <c r="C32" s="2"/>
      <c r="D32" s="2"/>
      <c r="E32" s="2"/>
      <c r="F32" s="2"/>
      <c r="G32" s="2"/>
      <c r="H32" s="2"/>
      <c r="I32" s="2"/>
      <c r="J32" s="2"/>
      <c r="K32" s="2"/>
      <c r="L32" s="2"/>
      <c r="M32" s="2"/>
      <c r="N32" s="2"/>
      <c r="O32" s="2"/>
      <c r="P32" s="2"/>
      <c r="Q32" s="2"/>
    </row>
    <row r="33" spans="1:17" s="3" customFormat="1" x14ac:dyDescent="0.2">
      <c r="A33" s="2"/>
      <c r="B33" s="2"/>
      <c r="C33" s="2"/>
      <c r="D33" s="2"/>
      <c r="E33" s="2"/>
      <c r="F33" s="2"/>
      <c r="G33" s="2"/>
      <c r="H33" s="2"/>
      <c r="I33" s="2"/>
      <c r="J33" s="2"/>
      <c r="K33" s="2"/>
      <c r="L33" s="2"/>
      <c r="M33" s="2"/>
      <c r="N33" s="2"/>
      <c r="O33" s="2"/>
      <c r="P33" s="2"/>
      <c r="Q33" s="2"/>
    </row>
    <row r="34" spans="1:17" s="3" customFormat="1" x14ac:dyDescent="0.2">
      <c r="A34" s="2"/>
      <c r="B34" s="2"/>
      <c r="C34" s="2"/>
      <c r="D34" s="2"/>
      <c r="E34" s="2"/>
      <c r="F34" s="2"/>
      <c r="G34" s="2"/>
      <c r="H34" s="2"/>
      <c r="I34" s="2"/>
      <c r="J34" s="2"/>
      <c r="K34" s="2"/>
      <c r="L34" s="2"/>
      <c r="M34" s="2"/>
      <c r="N34" s="2"/>
      <c r="O34" s="2"/>
      <c r="P34" s="2"/>
      <c r="Q34" s="2"/>
    </row>
    <row r="35" spans="1:17" s="3" customFormat="1" x14ac:dyDescent="0.2">
      <c r="A35" s="2"/>
      <c r="B35" s="2"/>
      <c r="C35" s="2"/>
      <c r="D35" s="2"/>
      <c r="E35" s="2"/>
      <c r="F35" s="2"/>
      <c r="G35" s="2"/>
      <c r="H35" s="2"/>
      <c r="I35" s="2"/>
      <c r="J35" s="2"/>
      <c r="K35" s="2"/>
      <c r="L35" s="2"/>
      <c r="M35" s="2"/>
      <c r="N35" s="2"/>
      <c r="O35" s="2"/>
      <c r="P35" s="2"/>
      <c r="Q35" s="2"/>
    </row>
    <row r="36" spans="1:17" s="3" customFormat="1" x14ac:dyDescent="0.2">
      <c r="A36" s="2"/>
      <c r="B36" s="2"/>
      <c r="C36" s="2"/>
      <c r="D36" s="2"/>
      <c r="E36" s="2"/>
      <c r="F36" s="2"/>
      <c r="G36" s="2"/>
      <c r="H36" s="2"/>
      <c r="I36" s="2"/>
      <c r="J36" s="2"/>
      <c r="K36" s="2"/>
      <c r="L36" s="2"/>
      <c r="M36" s="2"/>
      <c r="N36" s="2"/>
      <c r="O36" s="2"/>
      <c r="P36" s="2"/>
      <c r="Q36" s="2"/>
    </row>
    <row r="37" spans="1:17" s="3" customFormat="1" x14ac:dyDescent="0.2">
      <c r="A37" s="2"/>
      <c r="B37" s="2"/>
      <c r="C37" s="2"/>
      <c r="D37" s="2"/>
      <c r="E37" s="2"/>
      <c r="F37" s="2"/>
      <c r="G37" s="2"/>
      <c r="H37" s="2"/>
      <c r="I37" s="2"/>
      <c r="J37" s="2"/>
      <c r="K37" s="2"/>
      <c r="L37" s="2"/>
      <c r="M37" s="2"/>
      <c r="N37" s="2"/>
      <c r="O37" s="2"/>
      <c r="P37" s="2"/>
      <c r="Q37" s="2"/>
    </row>
    <row r="38" spans="1:17" s="3" customFormat="1" x14ac:dyDescent="0.2">
      <c r="A38" s="2"/>
      <c r="B38" s="2"/>
      <c r="C38" s="2"/>
      <c r="D38" s="2"/>
      <c r="E38" s="2"/>
      <c r="F38" s="2"/>
      <c r="G38" s="2"/>
      <c r="H38" s="2"/>
      <c r="I38" s="2"/>
      <c r="J38" s="2"/>
      <c r="K38" s="2"/>
      <c r="L38" s="2"/>
      <c r="M38" s="2"/>
      <c r="N38" s="2"/>
      <c r="O38" s="2"/>
      <c r="P38" s="2"/>
      <c r="Q38" s="2"/>
    </row>
    <row r="39" spans="1:17" s="3" customFormat="1" x14ac:dyDescent="0.2">
      <c r="A39" s="2"/>
      <c r="B39" s="2"/>
      <c r="C39" s="2"/>
      <c r="D39" s="2"/>
      <c r="E39" s="2"/>
      <c r="F39" s="2"/>
      <c r="G39" s="2"/>
      <c r="H39" s="2"/>
      <c r="I39" s="2"/>
      <c r="J39" s="2"/>
      <c r="K39" s="2"/>
      <c r="L39" s="2"/>
      <c r="M39" s="2"/>
      <c r="N39" s="2"/>
      <c r="O39" s="2"/>
      <c r="P39" s="2"/>
      <c r="Q39" s="2"/>
    </row>
    <row r="40" spans="1:17" s="3" customFormat="1" x14ac:dyDescent="0.2">
      <c r="A40" s="2"/>
      <c r="B40" s="2"/>
      <c r="C40" s="2"/>
      <c r="D40" s="2"/>
      <c r="E40" s="2"/>
      <c r="F40" s="2"/>
      <c r="G40" s="2"/>
      <c r="H40" s="2"/>
      <c r="I40" s="2"/>
      <c r="J40" s="2"/>
      <c r="K40" s="2"/>
      <c r="L40" s="2"/>
      <c r="M40" s="2"/>
      <c r="N40" s="2"/>
      <c r="O40" s="2"/>
      <c r="P40" s="2"/>
      <c r="Q40" s="2"/>
    </row>
    <row r="41" spans="1:17" s="3" customFormat="1" x14ac:dyDescent="0.2">
      <c r="A41" s="2"/>
      <c r="B41" s="2"/>
      <c r="C41" s="2"/>
      <c r="D41" s="2"/>
      <c r="E41" s="2"/>
      <c r="F41" s="2"/>
      <c r="G41" s="2"/>
      <c r="H41" s="2"/>
      <c r="I41" s="2"/>
      <c r="J41" s="2"/>
      <c r="K41" s="2"/>
      <c r="L41" s="2"/>
      <c r="M41" s="2"/>
      <c r="N41" s="2"/>
      <c r="O41" s="2"/>
      <c r="P41" s="2"/>
      <c r="Q41" s="2"/>
    </row>
    <row r="42" spans="1:17" s="3" customFormat="1" x14ac:dyDescent="0.2">
      <c r="A42" s="2"/>
      <c r="B42" s="2"/>
      <c r="C42" s="2"/>
      <c r="D42" s="2"/>
      <c r="E42" s="2"/>
      <c r="F42" s="2"/>
      <c r="G42" s="2"/>
      <c r="H42" s="2"/>
      <c r="I42" s="2"/>
      <c r="J42" s="2"/>
      <c r="K42" s="2"/>
      <c r="L42" s="2"/>
      <c r="M42" s="2"/>
      <c r="N42" s="2"/>
      <c r="O42" s="2"/>
      <c r="P42" s="2"/>
      <c r="Q42" s="2"/>
    </row>
    <row r="43" spans="1:17" s="3" customFormat="1" x14ac:dyDescent="0.2">
      <c r="A43" s="2"/>
      <c r="B43" s="2"/>
      <c r="C43" s="2"/>
      <c r="D43" s="2"/>
      <c r="E43" s="2"/>
      <c r="F43" s="2"/>
      <c r="G43" s="2"/>
      <c r="H43" s="2"/>
      <c r="I43" s="2"/>
      <c r="J43" s="2"/>
      <c r="K43" s="2"/>
      <c r="L43" s="2"/>
      <c r="M43" s="2"/>
      <c r="N43" s="2"/>
      <c r="O43" s="2"/>
      <c r="P43" s="2"/>
      <c r="Q43" s="2"/>
    </row>
    <row r="44" spans="1:17" s="3" customFormat="1" x14ac:dyDescent="0.2">
      <c r="A44" s="2"/>
      <c r="B44" s="2"/>
      <c r="C44" s="2"/>
      <c r="D44" s="2"/>
      <c r="E44" s="2"/>
      <c r="F44" s="2"/>
      <c r="G44" s="2"/>
      <c r="H44" s="2"/>
      <c r="I44" s="2"/>
      <c r="J44" s="2"/>
      <c r="K44" s="2"/>
      <c r="L44" s="2"/>
      <c r="M44" s="2"/>
      <c r="N44" s="2"/>
      <c r="O44" s="2"/>
      <c r="P44" s="2"/>
      <c r="Q44" s="2"/>
    </row>
    <row r="45" spans="1:17" s="3" customFormat="1" x14ac:dyDescent="0.2">
      <c r="A45" s="2"/>
      <c r="B45" s="2"/>
      <c r="C45" s="2"/>
      <c r="D45" s="2"/>
      <c r="E45" s="2"/>
      <c r="F45" s="2"/>
      <c r="G45" s="2"/>
      <c r="H45" s="2"/>
      <c r="I45" s="2"/>
      <c r="J45" s="2"/>
      <c r="K45" s="2"/>
      <c r="L45" s="2"/>
      <c r="M45" s="2"/>
      <c r="N45" s="2"/>
      <c r="O45" s="2"/>
      <c r="P45" s="2"/>
      <c r="Q45" s="2"/>
    </row>
    <row r="46" spans="1:17" s="3" customFormat="1" x14ac:dyDescent="0.2">
      <c r="A46" s="2"/>
      <c r="B46" s="2"/>
      <c r="C46" s="2"/>
      <c r="D46" s="2"/>
      <c r="E46" s="2"/>
      <c r="F46" s="2"/>
      <c r="G46" s="2"/>
      <c r="H46" s="2"/>
      <c r="I46" s="2"/>
      <c r="J46" s="2"/>
      <c r="K46" s="2"/>
      <c r="L46" s="2"/>
      <c r="M46" s="2"/>
      <c r="N46" s="2"/>
      <c r="O46" s="2"/>
      <c r="P46" s="2"/>
      <c r="Q46" s="2"/>
    </row>
    <row r="47" spans="1:17" s="3" customFormat="1" x14ac:dyDescent="0.2">
      <c r="A47" s="2"/>
      <c r="B47" s="2"/>
      <c r="C47" s="2"/>
      <c r="D47" s="2"/>
      <c r="E47" s="2"/>
      <c r="F47" s="2"/>
      <c r="G47" s="2"/>
      <c r="H47" s="2"/>
      <c r="I47" s="2"/>
      <c r="J47" s="2"/>
      <c r="K47" s="2"/>
      <c r="L47" s="2"/>
      <c r="M47" s="2"/>
      <c r="N47" s="2"/>
      <c r="O47" s="2"/>
      <c r="P47" s="2"/>
      <c r="Q47" s="2"/>
    </row>
    <row r="48" spans="1:17" s="3" customFormat="1" x14ac:dyDescent="0.2">
      <c r="A48" s="2"/>
      <c r="B48" s="2"/>
      <c r="C48" s="2"/>
      <c r="D48" s="2"/>
      <c r="E48" s="2"/>
      <c r="F48" s="2"/>
      <c r="G48" s="2"/>
      <c r="H48" s="2"/>
      <c r="I48" s="2"/>
      <c r="J48" s="2"/>
      <c r="K48" s="2"/>
      <c r="L48" s="2"/>
      <c r="M48" s="2"/>
      <c r="N48" s="2"/>
      <c r="O48" s="2"/>
      <c r="P48" s="2"/>
      <c r="Q48" s="2"/>
    </row>
    <row r="49" spans="1:17" s="3" customFormat="1" x14ac:dyDescent="0.2">
      <c r="A49" s="2"/>
      <c r="B49" s="2"/>
      <c r="C49" s="2"/>
      <c r="D49" s="2"/>
      <c r="E49" s="2"/>
      <c r="F49" s="2"/>
      <c r="G49" s="2"/>
      <c r="H49" s="2"/>
      <c r="I49" s="2"/>
      <c r="J49" s="2"/>
      <c r="K49" s="2"/>
      <c r="L49" s="2"/>
      <c r="M49" s="2"/>
      <c r="N49" s="2"/>
      <c r="O49" s="2"/>
      <c r="P49" s="2"/>
      <c r="Q49"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32575-DEE4-454E-8BC0-67EF26844C1F}">
  <dimension ref="A1:AA192"/>
  <sheetViews>
    <sheetView tabSelected="1" topLeftCell="H1" zoomScale="110" zoomScaleNormal="110" workbookViewId="0">
      <pane ySplit="1" topLeftCell="A2" activePane="bottomLeft" state="frozen"/>
      <selection pane="bottomLeft" activeCell="P8" sqref="P8"/>
    </sheetView>
  </sheetViews>
  <sheetFormatPr baseColWidth="10" defaultColWidth="9.1640625" defaultRowHeight="15" x14ac:dyDescent="0.2"/>
  <cols>
    <col min="1" max="1" width="17.5" style="10" customWidth="1"/>
    <col min="2" max="2" width="13.6640625" style="12" customWidth="1"/>
    <col min="3" max="3" width="13.5" style="12" customWidth="1"/>
    <col min="4" max="4" width="11.33203125" style="12" customWidth="1"/>
    <col min="5" max="5" width="9.33203125" style="12" bestFit="1" customWidth="1"/>
    <col min="6" max="6" width="12.33203125" style="37" customWidth="1"/>
    <col min="7" max="8" width="11.5" style="7" customWidth="1"/>
    <col min="9" max="9" width="19.1640625" style="7" bestFit="1" customWidth="1"/>
    <col min="10" max="10" width="15.1640625" style="12" bestFit="1" customWidth="1"/>
    <col min="11" max="11" width="15.83203125" style="12" bestFit="1" customWidth="1"/>
    <col min="12" max="12" width="19.6640625" style="12" bestFit="1" customWidth="1"/>
    <col min="13" max="13" width="15.83203125" style="12" bestFit="1" customWidth="1"/>
    <col min="14" max="14" width="11.6640625" style="12" bestFit="1" customWidth="1"/>
    <col min="15" max="15" width="41.1640625" style="12" bestFit="1" customWidth="1"/>
    <col min="16" max="16" width="20.6640625" style="12" customWidth="1"/>
    <col min="17" max="17" width="13.5" style="12" bestFit="1" customWidth="1"/>
    <col min="18" max="16384" width="9.1640625" style="12"/>
  </cols>
  <sheetData>
    <row r="1" spans="1:27" x14ac:dyDescent="0.2">
      <c r="B1" s="11"/>
      <c r="C1" s="38" t="s">
        <v>17</v>
      </c>
      <c r="D1" s="38" t="s">
        <v>18</v>
      </c>
      <c r="E1" s="38" t="s">
        <v>19</v>
      </c>
      <c r="F1" s="39" t="s">
        <v>20</v>
      </c>
      <c r="M1" s="13" t="s">
        <v>21</v>
      </c>
      <c r="N1" s="14">
        <v>0.41579911602837499</v>
      </c>
      <c r="O1" s="15" t="s">
        <v>22</v>
      </c>
    </row>
    <row r="2" spans="1:27" x14ac:dyDescent="0.2">
      <c r="A2" s="10" t="s">
        <v>23</v>
      </c>
      <c r="B2" s="12" t="s">
        <v>24</v>
      </c>
      <c r="C2" s="12" t="s">
        <v>25</v>
      </c>
      <c r="D2" s="12" t="s">
        <v>26</v>
      </c>
      <c r="E2" s="12" t="s">
        <v>27</v>
      </c>
      <c r="F2" s="37" t="s">
        <v>5</v>
      </c>
      <c r="G2" s="7" t="s">
        <v>6</v>
      </c>
      <c r="H2" s="7" t="s">
        <v>28</v>
      </c>
      <c r="I2" s="7" t="s">
        <v>29</v>
      </c>
      <c r="J2" s="1" t="s">
        <v>30</v>
      </c>
      <c r="K2" s="12" t="s">
        <v>3</v>
      </c>
      <c r="M2" s="16" t="s">
        <v>31</v>
      </c>
      <c r="N2" s="17">
        <v>9.8099960073277752E-3</v>
      </c>
      <c r="O2" s="18" t="s">
        <v>32</v>
      </c>
    </row>
    <row r="3" spans="1:27" x14ac:dyDescent="0.2">
      <c r="A3" s="75">
        <v>44207</v>
      </c>
      <c r="B3" s="76">
        <v>47540667.509999998</v>
      </c>
      <c r="C3" s="59">
        <f>$T$19+(K3*$T$20)</f>
        <v>49532828.74748186</v>
      </c>
      <c r="D3" s="59">
        <f>$T$20</f>
        <v>-285980.05812900199</v>
      </c>
      <c r="E3" s="77">
        <f>B3/C3</f>
        <v>0.95978099196317068</v>
      </c>
      <c r="F3" s="54">
        <f>(C3+D3)*E3</f>
        <v>47266189.286127254</v>
      </c>
      <c r="G3" s="59">
        <f>B3-F3</f>
        <v>274478.22387274355</v>
      </c>
      <c r="H3" s="59">
        <f>ABS(G3)</f>
        <v>274478.22387274355</v>
      </c>
      <c r="I3" s="59">
        <f>H3*H3</f>
        <v>75338295380.335922</v>
      </c>
      <c r="J3" s="12">
        <f>(B3-F3)/B3</f>
        <v>5.7735458555563633E-3</v>
      </c>
      <c r="K3" s="7">
        <v>1</v>
      </c>
      <c r="L3" s="12" t="s">
        <v>33</v>
      </c>
      <c r="M3" s="16" t="s">
        <v>34</v>
      </c>
      <c r="N3" s="17">
        <v>0.53677292891593775</v>
      </c>
      <c r="O3" s="18" t="s">
        <v>35</v>
      </c>
      <c r="S3" t="s">
        <v>36</v>
      </c>
      <c r="T3"/>
      <c r="U3"/>
      <c r="V3"/>
      <c r="W3"/>
      <c r="X3"/>
      <c r="Y3"/>
      <c r="Z3"/>
      <c r="AA3"/>
    </row>
    <row r="4" spans="1:27" ht="16" thickBot="1" x14ac:dyDescent="0.25">
      <c r="A4" s="75">
        <v>44213</v>
      </c>
      <c r="B4" s="76">
        <v>49092326.210000001</v>
      </c>
      <c r="C4" s="59">
        <f>$T$19+(K4*$T$20)</f>
        <v>49246848.689352863</v>
      </c>
      <c r="D4" s="59">
        <f t="shared" ref="D4:D54" si="0">$T$20</f>
        <v>-285980.05812900199</v>
      </c>
      <c r="E4" s="77">
        <f t="shared" ref="E4:E54" si="1">B4/C4</f>
        <v>0.9968622869591599</v>
      </c>
      <c r="F4" s="54">
        <f t="shared" ref="F4:F53" si="2">(C4+D4)*E4</f>
        <v>48807243.475228809</v>
      </c>
      <c r="G4" s="59">
        <f>B4-F4</f>
        <v>285082.73477119207</v>
      </c>
      <c r="H4" s="59">
        <f t="shared" ref="H4:H54" si="3">ABS(G4)</f>
        <v>285082.73477119207</v>
      </c>
      <c r="I4" s="59">
        <f t="shared" ref="I4:I54" si="4">H4*H4</f>
        <v>81272165664.621841</v>
      </c>
      <c r="J4" s="12">
        <f>(B4-F4)/B4</f>
        <v>5.8070732593054706E-3</v>
      </c>
      <c r="K4" s="7">
        <v>2</v>
      </c>
      <c r="L4" s="7">
        <f>AVERAGE(B3:B54)</f>
        <v>42240337.265192315</v>
      </c>
      <c r="M4" s="16" t="s">
        <v>37</v>
      </c>
      <c r="N4" s="17">
        <v>52</v>
      </c>
      <c r="O4" s="18" t="s">
        <v>38</v>
      </c>
      <c r="S4"/>
      <c r="T4"/>
      <c r="U4"/>
      <c r="V4"/>
      <c r="W4"/>
      <c r="X4"/>
      <c r="Y4"/>
      <c r="Z4"/>
      <c r="AA4"/>
    </row>
    <row r="5" spans="1:27" ht="16" thickBot="1" x14ac:dyDescent="0.25">
      <c r="A5" s="75">
        <v>44220</v>
      </c>
      <c r="B5" s="76">
        <v>48336072.189999998</v>
      </c>
      <c r="C5" s="59">
        <f t="shared" ref="C5:C54" si="5">$T$19+(K5*$T$20)</f>
        <v>48960868.631223857</v>
      </c>
      <c r="D5" s="59">
        <f t="shared" si="0"/>
        <v>-285980.05812900199</v>
      </c>
      <c r="E5" s="77">
        <f t="shared" si="1"/>
        <v>0.9872388611825933</v>
      </c>
      <c r="F5" s="54">
        <f t="shared" si="2"/>
        <v>48053741.563091785</v>
      </c>
      <c r="G5" s="59">
        <f t="shared" ref="G5:G54" si="6">B5-F5</f>
        <v>282330.6269082129</v>
      </c>
      <c r="H5" s="59">
        <f t="shared" si="3"/>
        <v>282330.6269082129</v>
      </c>
      <c r="I5" s="59">
        <f t="shared" si="4"/>
        <v>79710582890.384506</v>
      </c>
      <c r="J5" s="12">
        <f t="shared" ref="J5:J19" si="7">(B5-F5)/B5</f>
        <v>5.8409923296709829E-3</v>
      </c>
      <c r="K5" s="7">
        <v>3</v>
      </c>
      <c r="M5" s="19" t="s">
        <v>39</v>
      </c>
      <c r="N5" s="46" t="s">
        <v>40</v>
      </c>
      <c r="O5" s="20" t="s">
        <v>41</v>
      </c>
      <c r="S5" s="67" t="s">
        <v>42</v>
      </c>
      <c r="T5" s="67"/>
      <c r="U5"/>
      <c r="V5"/>
      <c r="W5"/>
      <c r="X5"/>
      <c r="Y5"/>
      <c r="Z5"/>
      <c r="AA5"/>
    </row>
    <row r="6" spans="1:27" x14ac:dyDescent="0.2">
      <c r="A6" s="75">
        <v>44227</v>
      </c>
      <c r="B6" s="76">
        <v>49231053.829999998</v>
      </c>
      <c r="C6" s="59">
        <f t="shared" si="5"/>
        <v>48674888.57309486</v>
      </c>
      <c r="D6" s="59">
        <f t="shared" si="0"/>
        <v>-285980.05812900199</v>
      </c>
      <c r="E6" s="77">
        <f t="shared" si="1"/>
        <v>1.0114261228573733</v>
      </c>
      <c r="F6" s="54">
        <f t="shared" si="2"/>
        <v>48941806.128592052</v>
      </c>
      <c r="G6" s="59">
        <f t="shared" si="6"/>
        <v>289247.70140794665</v>
      </c>
      <c r="H6" s="59">
        <f t="shared" si="3"/>
        <v>289247.70140794665</v>
      </c>
      <c r="I6" s="59">
        <f t="shared" si="4"/>
        <v>83664232769.780655</v>
      </c>
      <c r="J6" s="12">
        <f t="shared" si="7"/>
        <v>5.8753099701409879E-3</v>
      </c>
      <c r="K6" s="7">
        <v>4</v>
      </c>
      <c r="S6" t="s">
        <v>43</v>
      </c>
      <c r="T6">
        <v>0.83639065595151718</v>
      </c>
      <c r="U6"/>
      <c r="V6"/>
      <c r="W6"/>
      <c r="X6"/>
      <c r="Y6"/>
      <c r="Z6"/>
      <c r="AA6"/>
    </row>
    <row r="7" spans="1:27" x14ac:dyDescent="0.2">
      <c r="A7" s="75">
        <v>44234</v>
      </c>
      <c r="B7" s="76">
        <v>60346458.380000003</v>
      </c>
      <c r="C7" s="59">
        <f t="shared" si="5"/>
        <v>48388908.514965855</v>
      </c>
      <c r="D7" s="59">
        <f t="shared" si="0"/>
        <v>-285980.05812900199</v>
      </c>
      <c r="E7" s="77">
        <f t="shared" si="1"/>
        <v>1.24711344463031</v>
      </c>
      <c r="F7" s="54">
        <f t="shared" si="2"/>
        <v>59989808.804611169</v>
      </c>
      <c r="G7" s="59">
        <f t="shared" si="6"/>
        <v>356649.57538883388</v>
      </c>
      <c r="H7" s="59">
        <f t="shared" si="3"/>
        <v>356649.57538883388</v>
      </c>
      <c r="I7" s="59">
        <f t="shared" si="4"/>
        <v>127198919625.03551</v>
      </c>
      <c r="J7" s="12">
        <f t="shared" si="7"/>
        <v>5.9100332474032067E-3</v>
      </c>
      <c r="K7" s="7">
        <v>5</v>
      </c>
      <c r="M7" s="31"/>
      <c r="N7" s="33"/>
      <c r="S7" t="s">
        <v>44</v>
      </c>
      <c r="T7">
        <v>0.69954932936300918</v>
      </c>
      <c r="U7"/>
      <c r="V7"/>
      <c r="W7"/>
      <c r="X7"/>
      <c r="Y7"/>
      <c r="Z7"/>
      <c r="AA7"/>
    </row>
    <row r="8" spans="1:27" x14ac:dyDescent="0.2">
      <c r="A8" s="75">
        <v>44241</v>
      </c>
      <c r="B8" s="76">
        <v>47465203.75</v>
      </c>
      <c r="C8" s="59">
        <f t="shared" si="5"/>
        <v>48102928.456836857</v>
      </c>
      <c r="D8" s="59">
        <f t="shared" si="0"/>
        <v>-285980.05812900199</v>
      </c>
      <c r="E8" s="77">
        <f t="shared" si="1"/>
        <v>0.98674249723883045</v>
      </c>
      <c r="F8" s="54">
        <f t="shared" si="2"/>
        <v>47183015.073281281</v>
      </c>
      <c r="G8" s="59">
        <f t="shared" si="6"/>
        <v>282188.6767187193</v>
      </c>
      <c r="H8" s="59">
        <f t="shared" si="3"/>
        <v>282188.6767187193</v>
      </c>
      <c r="I8" s="59">
        <f t="shared" si="4"/>
        <v>79630449268.261871</v>
      </c>
      <c r="J8" s="12">
        <f t="shared" si="7"/>
        <v>5.9451693961962461E-3</v>
      </c>
      <c r="K8" s="7">
        <v>6</v>
      </c>
      <c r="M8" s="41" t="s">
        <v>45</v>
      </c>
      <c r="N8" s="34"/>
      <c r="S8" t="s">
        <v>46</v>
      </c>
      <c r="T8">
        <v>0.69354031595026944</v>
      </c>
      <c r="U8"/>
      <c r="V8"/>
      <c r="W8"/>
      <c r="X8"/>
      <c r="Y8"/>
      <c r="Z8"/>
      <c r="AA8"/>
    </row>
    <row r="9" spans="1:27" x14ac:dyDescent="0.2">
      <c r="A9" s="75">
        <v>44248</v>
      </c>
      <c r="B9" s="76">
        <v>43127603.630000003</v>
      </c>
      <c r="C9" s="59">
        <f t="shared" si="5"/>
        <v>47816948.398707852</v>
      </c>
      <c r="D9" s="59">
        <f t="shared" si="0"/>
        <v>-285980.05812900199</v>
      </c>
      <c r="E9" s="77">
        <f t="shared" si="1"/>
        <v>0.90193132506894635</v>
      </c>
      <c r="F9" s="54">
        <f t="shared" si="2"/>
        <v>42869669.257228419</v>
      </c>
      <c r="G9" s="59">
        <f t="shared" si="6"/>
        <v>257934.3727715835</v>
      </c>
      <c r="H9" s="59">
        <f t="shared" si="3"/>
        <v>257934.3727715835</v>
      </c>
      <c r="I9" s="59">
        <f t="shared" si="4"/>
        <v>66530140657.070198</v>
      </c>
      <c r="J9" s="12">
        <f t="shared" si="7"/>
        <v>5.9807258243340395E-3</v>
      </c>
      <c r="K9" s="7">
        <v>7</v>
      </c>
      <c r="M9" s="31" t="s">
        <v>47</v>
      </c>
      <c r="N9" s="82">
        <f>AVERAGE(H141:H174)</f>
        <v>1872699.6244709077</v>
      </c>
      <c r="P9" s="21"/>
      <c r="Q9" s="21"/>
      <c r="S9" t="s">
        <v>48</v>
      </c>
      <c r="T9">
        <v>2868548.7578412318</v>
      </c>
      <c r="U9"/>
      <c r="V9"/>
      <c r="W9"/>
      <c r="X9"/>
      <c r="Y9"/>
      <c r="Z9"/>
      <c r="AA9"/>
    </row>
    <row r="10" spans="1:27" ht="16" thickBot="1" x14ac:dyDescent="0.25">
      <c r="A10" s="75">
        <v>44255</v>
      </c>
      <c r="B10" s="76">
        <v>49032764.130000003</v>
      </c>
      <c r="C10" s="59">
        <f t="shared" si="5"/>
        <v>47530968.340578847</v>
      </c>
      <c r="D10" s="59">
        <f t="shared" si="0"/>
        <v>-285980.05812900199</v>
      </c>
      <c r="E10" s="77">
        <f t="shared" si="1"/>
        <v>1.0315961538729903</v>
      </c>
      <c r="F10" s="54">
        <f t="shared" si="2"/>
        <v>48737748.201949753</v>
      </c>
      <c r="G10" s="59">
        <f t="shared" si="6"/>
        <v>295015.92805024981</v>
      </c>
      <c r="H10" s="59">
        <f t="shared" si="3"/>
        <v>295015.92805024981</v>
      </c>
      <c r="I10" s="59">
        <f t="shared" si="4"/>
        <v>87034397803.350174</v>
      </c>
      <c r="J10" s="12">
        <f t="shared" si="7"/>
        <v>6.0167101179137584E-3</v>
      </c>
      <c r="K10" s="7">
        <v>8</v>
      </c>
      <c r="M10" s="30" t="s">
        <v>49</v>
      </c>
      <c r="N10" s="83">
        <f>SQRT(AVERAGE(I141:I174))</f>
        <v>2260881.132541941</v>
      </c>
      <c r="P10" s="40"/>
      <c r="Q10" s="40"/>
      <c r="S10" s="65" t="s">
        <v>50</v>
      </c>
      <c r="T10" s="65">
        <v>52</v>
      </c>
      <c r="U10"/>
      <c r="V10"/>
      <c r="W10"/>
      <c r="X10"/>
      <c r="Y10"/>
      <c r="Z10"/>
      <c r="AA10"/>
    </row>
    <row r="11" spans="1:27" ht="16" thickTop="1" x14ac:dyDescent="0.2">
      <c r="A11" s="75">
        <v>44262</v>
      </c>
      <c r="B11" s="76">
        <v>47093864.420000002</v>
      </c>
      <c r="C11" s="59">
        <f t="shared" si="5"/>
        <v>47244988.282449849</v>
      </c>
      <c r="D11" s="59">
        <f t="shared" si="0"/>
        <v>-285980.05812900199</v>
      </c>
      <c r="E11" s="77">
        <f t="shared" si="1"/>
        <v>0.99680127209374325</v>
      </c>
      <c r="F11" s="54">
        <f t="shared" si="2"/>
        <v>46808799.134263568</v>
      </c>
      <c r="G11" s="59">
        <f t="shared" si="6"/>
        <v>285065.28573643416</v>
      </c>
      <c r="H11" s="59">
        <f t="shared" si="3"/>
        <v>285065.28573643416</v>
      </c>
      <c r="I11" s="59">
        <f t="shared" si="4"/>
        <v>81262217131.994858</v>
      </c>
      <c r="J11" s="12">
        <f t="shared" si="7"/>
        <v>6.0531300467109583E-3</v>
      </c>
      <c r="K11" s="7">
        <v>9</v>
      </c>
      <c r="M11" s="32" t="s">
        <v>51</v>
      </c>
      <c r="N11" s="84">
        <f>RSQ(B141:B174,F141:F174)</f>
        <v>0.83699731532082877</v>
      </c>
      <c r="S11"/>
      <c r="T11"/>
      <c r="U11"/>
      <c r="V11"/>
      <c r="W11"/>
      <c r="X11"/>
      <c r="Y11"/>
      <c r="Z11"/>
      <c r="AA11"/>
    </row>
    <row r="12" spans="1:27" ht="16" thickBot="1" x14ac:dyDescent="0.25">
      <c r="A12" s="75">
        <v>44269</v>
      </c>
      <c r="B12" s="76">
        <v>46783412.009999998</v>
      </c>
      <c r="C12" s="59">
        <f t="shared" si="5"/>
        <v>46959008.224320844</v>
      </c>
      <c r="D12" s="59">
        <f t="shared" si="0"/>
        <v>-285980.05812900199</v>
      </c>
      <c r="E12" s="77">
        <f t="shared" si="1"/>
        <v>0.99626064900088962</v>
      </c>
      <c r="F12" s="54">
        <f t="shared" si="2"/>
        <v>46498501.331687085</v>
      </c>
      <c r="G12" s="59">
        <f t="shared" si="6"/>
        <v>284910.67831291258</v>
      </c>
      <c r="H12" s="59">
        <f t="shared" si="3"/>
        <v>284910.67831291258</v>
      </c>
      <c r="I12" s="59">
        <f t="shared" si="4"/>
        <v>81174094616.723953</v>
      </c>
      <c r="J12" s="12">
        <f t="shared" si="7"/>
        <v>6.0899935697723943E-3</v>
      </c>
      <c r="K12" s="7">
        <v>10</v>
      </c>
      <c r="S12" t="s">
        <v>52</v>
      </c>
      <c r="T12"/>
      <c r="U12"/>
      <c r="V12"/>
      <c r="W12"/>
      <c r="X12"/>
      <c r="Y12"/>
      <c r="Z12"/>
      <c r="AA12"/>
    </row>
    <row r="13" spans="1:27" x14ac:dyDescent="0.2">
      <c r="A13" s="75">
        <v>44276</v>
      </c>
      <c r="B13" s="76">
        <v>45504100.600000001</v>
      </c>
      <c r="C13" s="59">
        <f t="shared" si="5"/>
        <v>46673028.166191846</v>
      </c>
      <c r="D13" s="59">
        <f t="shared" si="0"/>
        <v>-285980.05812900199</v>
      </c>
      <c r="E13" s="77">
        <f t="shared" si="1"/>
        <v>0.97495496623811162</v>
      </c>
      <c r="F13" s="54">
        <f t="shared" si="2"/>
        <v>45225282.922082067</v>
      </c>
      <c r="G13" s="59">
        <f t="shared" si="6"/>
        <v>278817.67791793495</v>
      </c>
      <c r="H13" s="59">
        <f t="shared" si="3"/>
        <v>278817.67791793495</v>
      </c>
      <c r="I13" s="59">
        <f t="shared" si="4"/>
        <v>77739297519.549316</v>
      </c>
      <c r="J13" s="12">
        <f t="shared" si="7"/>
        <v>6.1273088412153991E-3</v>
      </c>
      <c r="K13" s="7">
        <v>11</v>
      </c>
      <c r="S13" s="66"/>
      <c r="T13" s="66" t="s">
        <v>53</v>
      </c>
      <c r="U13" s="66" t="s">
        <v>54</v>
      </c>
      <c r="V13" s="66" t="s">
        <v>55</v>
      </c>
      <c r="W13" s="66" t="s">
        <v>56</v>
      </c>
      <c r="X13" s="66" t="s">
        <v>57</v>
      </c>
      <c r="Y13"/>
      <c r="Z13"/>
      <c r="AA13"/>
    </row>
    <row r="14" spans="1:27" x14ac:dyDescent="0.2">
      <c r="A14" s="75">
        <v>44283</v>
      </c>
      <c r="B14" s="76">
        <v>45516825.289999999</v>
      </c>
      <c r="C14" s="59">
        <f t="shared" si="5"/>
        <v>46387048.108062841</v>
      </c>
      <c r="D14" s="59">
        <f t="shared" si="0"/>
        <v>-285980.05812900199</v>
      </c>
      <c r="E14" s="77">
        <f t="shared" si="1"/>
        <v>0.98123996129187663</v>
      </c>
      <c r="F14" s="54">
        <f t="shared" si="2"/>
        <v>45236210.228831246</v>
      </c>
      <c r="G14" s="59">
        <f t="shared" si="6"/>
        <v>280615.06116875261</v>
      </c>
      <c r="H14" s="59">
        <f t="shared" si="3"/>
        <v>280615.06116875261</v>
      </c>
      <c r="I14" s="59">
        <f t="shared" si="4"/>
        <v>78744812554.742767</v>
      </c>
      <c r="J14" s="12">
        <f t="shared" si="7"/>
        <v>6.1650842162404382E-3</v>
      </c>
      <c r="K14" s="7">
        <v>12</v>
      </c>
      <c r="S14" t="s">
        <v>58</v>
      </c>
      <c r="T14">
        <v>1</v>
      </c>
      <c r="U14">
        <v>957942945392784.88</v>
      </c>
      <c r="V14">
        <v>957942945392784.88</v>
      </c>
      <c r="W14">
        <v>116.4166696449507</v>
      </c>
      <c r="X14">
        <v>1.1713460474424113E-14</v>
      </c>
      <c r="Y14"/>
      <c r="Z14"/>
      <c r="AA14"/>
    </row>
    <row r="15" spans="1:27" x14ac:dyDescent="0.2">
      <c r="A15" s="75">
        <v>44290</v>
      </c>
      <c r="B15" s="76">
        <v>42844698.719999999</v>
      </c>
      <c r="C15" s="59">
        <f t="shared" si="5"/>
        <v>46101068.049933836</v>
      </c>
      <c r="D15" s="59">
        <f t="shared" si="0"/>
        <v>-285980.05812900199</v>
      </c>
      <c r="E15" s="77">
        <f t="shared" si="1"/>
        <v>0.92936455774936189</v>
      </c>
      <c r="F15" s="54">
        <f t="shared" si="2"/>
        <v>42578918.989751793</v>
      </c>
      <c r="G15" s="59">
        <f t="shared" si="6"/>
        <v>265779.73024820536</v>
      </c>
      <c r="H15" s="59">
        <f t="shared" si="3"/>
        <v>265779.73024820536</v>
      </c>
      <c r="I15" s="59">
        <f t="shared" si="4"/>
        <v>70638865010.808807</v>
      </c>
      <c r="J15" s="12">
        <f t="shared" si="7"/>
        <v>6.2033282573682519E-3</v>
      </c>
      <c r="K15" s="7">
        <v>13</v>
      </c>
      <c r="S15" t="s">
        <v>59</v>
      </c>
      <c r="T15">
        <v>50</v>
      </c>
      <c r="U15">
        <v>411428598805623.62</v>
      </c>
      <c r="V15">
        <v>8228571976112.4727</v>
      </c>
      <c r="W15"/>
      <c r="X15"/>
      <c r="Y15"/>
      <c r="Z15"/>
      <c r="AA15"/>
    </row>
    <row r="16" spans="1:27" ht="16" thickBot="1" x14ac:dyDescent="0.25">
      <c r="A16" s="75">
        <v>44297</v>
      </c>
      <c r="B16" s="76">
        <v>42207725.579999998</v>
      </c>
      <c r="C16" s="59">
        <f t="shared" si="5"/>
        <v>45815087.991804838</v>
      </c>
      <c r="D16" s="59">
        <f t="shared" si="0"/>
        <v>-285980.05812900199</v>
      </c>
      <c r="E16" s="77">
        <f t="shared" si="1"/>
        <v>0.92126256720384114</v>
      </c>
      <c r="F16" s="54">
        <f t="shared" si="2"/>
        <v>41944262.857478969</v>
      </c>
      <c r="G16" s="59">
        <f t="shared" si="6"/>
        <v>263462.72252102941</v>
      </c>
      <c r="H16" s="59">
        <f t="shared" si="3"/>
        <v>263462.72252102941</v>
      </c>
      <c r="I16" s="59">
        <f t="shared" si="4"/>
        <v>69412606158.192932</v>
      </c>
      <c r="J16" s="12">
        <f t="shared" si="7"/>
        <v>6.2420497409097645E-3</v>
      </c>
      <c r="K16" s="7">
        <v>14</v>
      </c>
      <c r="S16" s="65" t="s">
        <v>60</v>
      </c>
      <c r="T16" s="65">
        <v>51</v>
      </c>
      <c r="U16" s="65">
        <v>1369371544198408.5</v>
      </c>
      <c r="V16" s="65"/>
      <c r="W16" s="65"/>
      <c r="X16" s="65"/>
      <c r="Y16"/>
      <c r="Z16"/>
      <c r="AA16"/>
    </row>
    <row r="17" spans="1:27" ht="16" thickBot="1" x14ac:dyDescent="0.25">
      <c r="A17" s="75">
        <v>44304</v>
      </c>
      <c r="B17" s="76">
        <v>43526965.090000004</v>
      </c>
      <c r="C17" s="59">
        <f t="shared" si="5"/>
        <v>45529107.933675833</v>
      </c>
      <c r="D17" s="59">
        <f t="shared" si="0"/>
        <v>-285980.05812900199</v>
      </c>
      <c r="E17" s="77">
        <f t="shared" si="1"/>
        <v>0.95602499292117837</v>
      </c>
      <c r="F17" s="54">
        <f t="shared" si="2"/>
        <v>43253561.006951623</v>
      </c>
      <c r="G17" s="59">
        <f t="shared" si="6"/>
        <v>273404.08304838091</v>
      </c>
      <c r="H17" s="59">
        <f t="shared" si="3"/>
        <v>273404.08304838091</v>
      </c>
      <c r="I17" s="59">
        <f t="shared" si="4"/>
        <v>74749792627.52597</v>
      </c>
      <c r="J17" s="12">
        <f t="shared" si="7"/>
        <v>6.2812576636819889E-3</v>
      </c>
      <c r="K17" s="7">
        <v>15</v>
      </c>
      <c r="S17"/>
      <c r="T17"/>
      <c r="U17"/>
      <c r="V17"/>
      <c r="W17"/>
      <c r="X17"/>
      <c r="Y17"/>
      <c r="Z17"/>
      <c r="AA17"/>
    </row>
    <row r="18" spans="1:27" x14ac:dyDescent="0.2">
      <c r="A18" s="75">
        <v>44311</v>
      </c>
      <c r="B18" s="76">
        <v>43128785.18</v>
      </c>
      <c r="C18" s="59">
        <f t="shared" si="5"/>
        <v>45243127.875546835</v>
      </c>
      <c r="D18" s="59">
        <f t="shared" si="0"/>
        <v>-285980.05812900199</v>
      </c>
      <c r="E18" s="77">
        <f t="shared" si="1"/>
        <v>0.95326709724042746</v>
      </c>
      <c r="F18" s="54">
        <f t="shared" si="2"/>
        <v>42856169.800118715</v>
      </c>
      <c r="G18" s="59">
        <f t="shared" si="6"/>
        <v>272615.37988128513</v>
      </c>
      <c r="H18" s="59">
        <f t="shared" si="3"/>
        <v>272615.37988128513</v>
      </c>
      <c r="I18" s="59">
        <f t="shared" si="4"/>
        <v>74319145347.817398</v>
      </c>
      <c r="J18" s="12">
        <f t="shared" si="7"/>
        <v>6.3209612499752106E-3</v>
      </c>
      <c r="K18" s="7">
        <v>16</v>
      </c>
      <c r="S18" s="66"/>
      <c r="T18" s="66" t="s">
        <v>61</v>
      </c>
      <c r="U18" s="66" t="s">
        <v>48</v>
      </c>
      <c r="V18" s="66" t="s">
        <v>62</v>
      </c>
      <c r="W18" s="66" t="s">
        <v>63</v>
      </c>
      <c r="X18" s="66" t="s">
        <v>64</v>
      </c>
      <c r="Y18" s="66" t="s">
        <v>65</v>
      </c>
      <c r="Z18" s="66" t="s">
        <v>66</v>
      </c>
      <c r="AA18" s="66" t="s">
        <v>67</v>
      </c>
    </row>
    <row r="19" spans="1:27" x14ac:dyDescent="0.2">
      <c r="A19" s="75">
        <v>44318</v>
      </c>
      <c r="B19" s="76">
        <v>50293811.619999997</v>
      </c>
      <c r="C19" s="59">
        <f t="shared" si="5"/>
        <v>44957147.81741783</v>
      </c>
      <c r="D19" s="59">
        <f t="shared" si="0"/>
        <v>-285980.05812900199</v>
      </c>
      <c r="E19" s="77">
        <f t="shared" si="1"/>
        <v>1.1187055687842051</v>
      </c>
      <c r="F19" s="54">
        <f t="shared" si="2"/>
        <v>49973884.136409849</v>
      </c>
      <c r="G19" s="59">
        <f t="shared" si="6"/>
        <v>319927.48359014839</v>
      </c>
      <c r="H19" s="59">
        <f t="shared" si="3"/>
        <v>319927.48359014839</v>
      </c>
      <c r="I19" s="59">
        <f t="shared" si="4"/>
        <v>102353594756.32466</v>
      </c>
      <c r="J19" s="12">
        <f t="shared" si="7"/>
        <v>6.3611699587892241E-3</v>
      </c>
      <c r="K19" s="7">
        <v>17</v>
      </c>
      <c r="S19" t="s">
        <v>68</v>
      </c>
      <c r="T19" s="85">
        <v>49818808.805610865</v>
      </c>
      <c r="U19">
        <v>807207.37965194695</v>
      </c>
      <c r="V19">
        <v>61.717484331091995</v>
      </c>
      <c r="W19">
        <v>7.3324986173413236E-49</v>
      </c>
      <c r="X19">
        <v>48197485.067855969</v>
      </c>
      <c r="Y19">
        <v>51440132.543365762</v>
      </c>
      <c r="Z19">
        <v>48197485.067855969</v>
      </c>
      <c r="AA19">
        <v>51440132.543365762</v>
      </c>
    </row>
    <row r="20" spans="1:27" ht="16" thickBot="1" x14ac:dyDescent="0.25">
      <c r="A20" s="75">
        <v>44325</v>
      </c>
      <c r="B20" s="76">
        <v>46390888.079999998</v>
      </c>
      <c r="C20" s="59">
        <f t="shared" si="5"/>
        <v>44671167.759288833</v>
      </c>
      <c r="D20" s="59">
        <f t="shared" si="0"/>
        <v>-285980.05812900199</v>
      </c>
      <c r="E20" s="77">
        <f t="shared" si="1"/>
        <v>1.0384973218067166</v>
      </c>
      <c r="F20" s="54">
        <f t="shared" si="2"/>
        <v>46093898.555542901</v>
      </c>
      <c r="G20" s="59">
        <f t="shared" si="6"/>
        <v>296989.52445709705</v>
      </c>
      <c r="H20" s="59">
        <f t="shared" si="3"/>
        <v>296989.52445709705</v>
      </c>
      <c r="I20" s="59">
        <f t="shared" si="4"/>
        <v>88202777637.252655</v>
      </c>
      <c r="J20" s="12">
        <f t="shared" ref="J20:J67" si="8">(B20-F20)/B20</f>
        <v>6.4018934913456626E-3</v>
      </c>
      <c r="K20" s="7">
        <v>18</v>
      </c>
      <c r="Q20" s="29"/>
      <c r="S20" s="65" t="s">
        <v>69</v>
      </c>
      <c r="T20" s="86">
        <v>-285980.05812900199</v>
      </c>
      <c r="U20" s="65">
        <v>26505.021723544502</v>
      </c>
      <c r="V20" s="65">
        <v>-10.789655677775389</v>
      </c>
      <c r="W20" s="65">
        <v>1.1713460474424113E-14</v>
      </c>
      <c r="X20" s="65">
        <v>-339216.96102825593</v>
      </c>
      <c r="Y20" s="65">
        <v>-232743.15522974805</v>
      </c>
      <c r="Z20" s="65">
        <v>-339216.96102825593</v>
      </c>
      <c r="AA20" s="65">
        <v>-232743.15522974805</v>
      </c>
    </row>
    <row r="21" spans="1:27" x14ac:dyDescent="0.2">
      <c r="A21" s="75">
        <v>44332</v>
      </c>
      <c r="B21" s="76">
        <v>42739597.670000002</v>
      </c>
      <c r="C21" s="59">
        <f t="shared" si="5"/>
        <v>44385187.701159827</v>
      </c>
      <c r="D21" s="59">
        <f t="shared" si="0"/>
        <v>-285980.05812900199</v>
      </c>
      <c r="E21" s="77">
        <f t="shared" si="1"/>
        <v>0.9629247927880944</v>
      </c>
      <c r="F21" s="54">
        <f t="shared" si="2"/>
        <v>42464220.381784603</v>
      </c>
      <c r="G21" s="59">
        <f t="shared" si="6"/>
        <v>275377.28821539879</v>
      </c>
      <c r="H21" s="59">
        <f t="shared" si="3"/>
        <v>275377.28821539879</v>
      </c>
      <c r="I21" s="59">
        <f t="shared" si="4"/>
        <v>75832650864.866806</v>
      </c>
      <c r="J21" s="12">
        <f t="shared" si="8"/>
        <v>6.4431417988918748E-3</v>
      </c>
      <c r="K21" s="7">
        <v>19</v>
      </c>
      <c r="S21"/>
      <c r="T21"/>
      <c r="U21"/>
      <c r="V21"/>
      <c r="W21"/>
      <c r="X21"/>
      <c r="Y21"/>
      <c r="Z21"/>
      <c r="AA21"/>
    </row>
    <row r="22" spans="1:27" x14ac:dyDescent="0.2">
      <c r="A22" s="75">
        <v>44339</v>
      </c>
      <c r="B22" s="76">
        <v>43329269.590000004</v>
      </c>
      <c r="C22" s="59">
        <f t="shared" si="5"/>
        <v>44099207.643030822</v>
      </c>
      <c r="D22" s="59">
        <f t="shared" si="0"/>
        <v>-285980.05812900199</v>
      </c>
      <c r="E22" s="77">
        <f t="shared" si="1"/>
        <v>0.982540773538082</v>
      </c>
      <c r="F22" s="54">
        <f t="shared" si="2"/>
        <v>43048282.522469461</v>
      </c>
      <c r="G22" s="59">
        <f t="shared" si="6"/>
        <v>280987.06753054261</v>
      </c>
      <c r="H22" s="59">
        <f t="shared" si="3"/>
        <v>280987.06753054261</v>
      </c>
      <c r="I22" s="59">
        <f t="shared" si="4"/>
        <v>78953732119.413712</v>
      </c>
      <c r="J22" s="12">
        <f t="shared" si="8"/>
        <v>6.4849250908072505E-3</v>
      </c>
      <c r="K22" s="7">
        <v>20</v>
      </c>
      <c r="S22"/>
      <c r="T22"/>
      <c r="U22"/>
      <c r="V22"/>
      <c r="W22"/>
      <c r="X22"/>
      <c r="Y22"/>
      <c r="Z22"/>
      <c r="AA22"/>
    </row>
    <row r="23" spans="1:27" x14ac:dyDescent="0.2">
      <c r="A23" s="75">
        <v>44346</v>
      </c>
      <c r="B23" s="76">
        <v>43862045.859999999</v>
      </c>
      <c r="C23" s="59">
        <f t="shared" si="5"/>
        <v>43813227.584901825</v>
      </c>
      <c r="D23" s="59">
        <f t="shared" si="0"/>
        <v>-285980.05812900199</v>
      </c>
      <c r="E23" s="77">
        <f t="shared" si="1"/>
        <v>1.0011142359919405</v>
      </c>
      <c r="F23" s="54">
        <f t="shared" si="2"/>
        <v>43575747.152597256</v>
      </c>
      <c r="G23" s="59">
        <f t="shared" si="6"/>
        <v>286298.7074027434</v>
      </c>
      <c r="H23" s="59">
        <f t="shared" si="3"/>
        <v>286298.7074027434</v>
      </c>
      <c r="I23" s="59">
        <f t="shared" si="4"/>
        <v>81966949860.481674</v>
      </c>
      <c r="J23" s="12">
        <f t="shared" si="8"/>
        <v>6.5272538430277268E-3</v>
      </c>
      <c r="K23" s="7">
        <v>21</v>
      </c>
      <c r="S23"/>
      <c r="T23"/>
      <c r="U23"/>
      <c r="V23"/>
      <c r="W23"/>
      <c r="X23"/>
      <c r="Y23"/>
      <c r="Z23"/>
      <c r="AA23"/>
    </row>
    <row r="24" spans="1:27" x14ac:dyDescent="0.2">
      <c r="A24" s="75">
        <v>44353</v>
      </c>
      <c r="B24" s="76">
        <v>43762590.869999997</v>
      </c>
      <c r="C24" s="59">
        <f t="shared" si="5"/>
        <v>43527247.526772819</v>
      </c>
      <c r="D24" s="59">
        <f t="shared" si="0"/>
        <v>-285980.05812900199</v>
      </c>
      <c r="E24" s="77">
        <f t="shared" si="1"/>
        <v>1.0054068050841585</v>
      </c>
      <c r="F24" s="54">
        <f t="shared" si="2"/>
        <v>43475064.573438734</v>
      </c>
      <c r="G24" s="59">
        <f t="shared" si="6"/>
        <v>287526.2965612635</v>
      </c>
      <c r="H24" s="59">
        <f t="shared" si="3"/>
        <v>287526.2965612635</v>
      </c>
      <c r="I24" s="59">
        <f t="shared" si="4"/>
        <v>82671371214.235641</v>
      </c>
      <c r="J24" s="12">
        <f t="shared" si="8"/>
        <v>6.5701388068037736E-3</v>
      </c>
      <c r="K24" s="7">
        <v>22</v>
      </c>
      <c r="S24" t="s">
        <v>70</v>
      </c>
      <c r="T24"/>
      <c r="U24"/>
      <c r="V24"/>
      <c r="W24"/>
      <c r="X24" t="s">
        <v>71</v>
      </c>
      <c r="Y24"/>
      <c r="Z24"/>
      <c r="AA24"/>
    </row>
    <row r="25" spans="1:27" ht="16" thickBot="1" x14ac:dyDescent="0.25">
      <c r="A25" s="75">
        <v>44360</v>
      </c>
      <c r="B25" s="76">
        <v>43304402.229999997</v>
      </c>
      <c r="C25" s="59">
        <f t="shared" si="5"/>
        <v>43241267.468643822</v>
      </c>
      <c r="D25" s="59">
        <f t="shared" si="0"/>
        <v>-285980.05812900199</v>
      </c>
      <c r="E25" s="77">
        <f t="shared" si="1"/>
        <v>1.0014600580661044</v>
      </c>
      <c r="F25" s="54">
        <f t="shared" si="2"/>
        <v>43018004.624380372</v>
      </c>
      <c r="G25" s="59">
        <f t="shared" si="6"/>
        <v>286397.60561962426</v>
      </c>
      <c r="H25" s="59">
        <f t="shared" si="3"/>
        <v>286397.60561962426</v>
      </c>
      <c r="I25" s="59">
        <f t="shared" si="4"/>
        <v>82023588504.653839</v>
      </c>
      <c r="J25" s="12">
        <f t="shared" si="8"/>
        <v>6.6135910178022625E-3</v>
      </c>
      <c r="K25" s="7">
        <v>23</v>
      </c>
      <c r="S25"/>
      <c r="T25"/>
      <c r="U25"/>
      <c r="V25"/>
      <c r="W25"/>
      <c r="X25"/>
      <c r="Y25"/>
      <c r="Z25"/>
      <c r="AA25"/>
    </row>
    <row r="26" spans="1:27" x14ac:dyDescent="0.2">
      <c r="A26" s="75">
        <v>44367</v>
      </c>
      <c r="B26" s="76">
        <v>43696048.43</v>
      </c>
      <c r="C26" s="59">
        <f t="shared" si="5"/>
        <v>42955287.410514817</v>
      </c>
      <c r="D26" s="59">
        <f t="shared" si="0"/>
        <v>-285980.05812900199</v>
      </c>
      <c r="E26" s="77">
        <f t="shared" si="1"/>
        <v>1.0172449322106936</v>
      </c>
      <c r="F26" s="54">
        <f t="shared" si="2"/>
        <v>43405136.665154956</v>
      </c>
      <c r="G26" s="59">
        <f t="shared" si="6"/>
        <v>290911.76484504342</v>
      </c>
      <c r="H26" s="59">
        <f t="shared" si="3"/>
        <v>290911.76484504342</v>
      </c>
      <c r="I26" s="59">
        <f t="shared" si="4"/>
        <v>84629654925.257843</v>
      </c>
      <c r="J26" s="12">
        <f t="shared" si="8"/>
        <v>6.6576218055753242E-3</v>
      </c>
      <c r="K26" s="7">
        <v>24</v>
      </c>
      <c r="S26" s="66" t="s">
        <v>72</v>
      </c>
      <c r="T26" s="66" t="s">
        <v>73</v>
      </c>
      <c r="U26" s="66" t="s">
        <v>74</v>
      </c>
      <c r="V26" s="66" t="s">
        <v>75</v>
      </c>
      <c r="W26"/>
      <c r="X26" s="66" t="s">
        <v>76</v>
      </c>
      <c r="Y26" s="66" t="s">
        <v>77</v>
      </c>
      <c r="Z26"/>
      <c r="AA26"/>
    </row>
    <row r="27" spans="1:27" x14ac:dyDescent="0.2">
      <c r="A27" s="75">
        <v>44374</v>
      </c>
      <c r="B27" s="76">
        <v>42504704.289999999</v>
      </c>
      <c r="C27" s="59">
        <f t="shared" si="5"/>
        <v>42669307.352385819</v>
      </c>
      <c r="D27" s="59">
        <f t="shared" si="0"/>
        <v>-285980.05812900199</v>
      </c>
      <c r="E27" s="77">
        <f t="shared" si="1"/>
        <v>0.99614235447914723</v>
      </c>
      <c r="F27" s="54">
        <f t="shared" si="2"/>
        <v>42219827.441561289</v>
      </c>
      <c r="G27" s="59">
        <f t="shared" si="6"/>
        <v>284876.84843870997</v>
      </c>
      <c r="H27" s="59">
        <f t="shared" si="3"/>
        <v>284876.84843870997</v>
      </c>
      <c r="I27" s="59">
        <f t="shared" si="4"/>
        <v>81154818776.371735</v>
      </c>
      <c r="J27" s="12">
        <f t="shared" si="8"/>
        <v>6.7022428034097022E-3</v>
      </c>
      <c r="K27" s="7">
        <v>25</v>
      </c>
      <c r="S27">
        <v>1</v>
      </c>
      <c r="T27">
        <v>49532828.74748186</v>
      </c>
      <c r="U27">
        <v>-1992161.2374818623</v>
      </c>
      <c r="V27">
        <v>-0.70139446648635884</v>
      </c>
      <c r="W27"/>
      <c r="X27">
        <v>0.96153846153846156</v>
      </c>
      <c r="Y27">
        <v>31082607.98</v>
      </c>
      <c r="Z27"/>
      <c r="AA27"/>
    </row>
    <row r="28" spans="1:27" x14ac:dyDescent="0.2">
      <c r="A28" s="75">
        <v>44381</v>
      </c>
      <c r="B28" s="76">
        <v>44900700.659999996</v>
      </c>
      <c r="C28" s="59">
        <f t="shared" si="5"/>
        <v>42383327.294256814</v>
      </c>
      <c r="D28" s="59">
        <f t="shared" si="0"/>
        <v>-285980.05812900199</v>
      </c>
      <c r="E28" s="77">
        <f t="shared" si="1"/>
        <v>1.0593953690390019</v>
      </c>
      <c r="F28" s="54">
        <f t="shared" si="2"/>
        <v>44597734.710780628</v>
      </c>
      <c r="G28" s="59">
        <f t="shared" si="6"/>
        <v>302965.9492193684</v>
      </c>
      <c r="H28" s="59">
        <f t="shared" si="3"/>
        <v>302965.9492193684</v>
      </c>
      <c r="I28" s="59">
        <f t="shared" si="4"/>
        <v>91788366386.392914</v>
      </c>
      <c r="J28" s="12">
        <f t="shared" si="8"/>
        <v>6.7474659585717127E-3</v>
      </c>
      <c r="K28" s="7">
        <v>26</v>
      </c>
      <c r="S28">
        <v>2</v>
      </c>
      <c r="T28">
        <v>49246848.689352863</v>
      </c>
      <c r="U28">
        <v>-154522.47935286164</v>
      </c>
      <c r="V28">
        <v>-5.4403835355639252E-2</v>
      </c>
      <c r="W28"/>
      <c r="X28">
        <v>2.8846153846153846</v>
      </c>
      <c r="Y28">
        <v>33617884.390000001</v>
      </c>
      <c r="Z28"/>
      <c r="AA28"/>
    </row>
    <row r="29" spans="1:27" x14ac:dyDescent="0.2">
      <c r="A29" s="75">
        <v>44388</v>
      </c>
      <c r="B29" s="76">
        <v>44418150.630000003</v>
      </c>
      <c r="C29" s="59">
        <f t="shared" si="5"/>
        <v>42097347.236127809</v>
      </c>
      <c r="D29" s="59">
        <f t="shared" si="0"/>
        <v>-285980.05812900199</v>
      </c>
      <c r="E29" s="77">
        <f t="shared" si="1"/>
        <v>1.0551294451133606</v>
      </c>
      <c r="F29" s="54">
        <f t="shared" si="2"/>
        <v>44116404.649952859</v>
      </c>
      <c r="G29" s="59">
        <f t="shared" si="6"/>
        <v>301745.980047144</v>
      </c>
      <c r="H29" s="59">
        <f t="shared" si="3"/>
        <v>301745.980047144</v>
      </c>
      <c r="I29" s="59">
        <f t="shared" si="4"/>
        <v>91050636474.61142</v>
      </c>
      <c r="J29" s="12">
        <f t="shared" si="8"/>
        <v>6.7933035429742737E-3</v>
      </c>
      <c r="K29" s="7">
        <v>27</v>
      </c>
      <c r="S29">
        <v>3</v>
      </c>
      <c r="T29">
        <v>48960868.631223857</v>
      </c>
      <c r="U29">
        <v>-624796.44122385979</v>
      </c>
      <c r="V29">
        <v>-0.21997655526553464</v>
      </c>
      <c r="W29"/>
      <c r="X29">
        <v>4.8076923076923075</v>
      </c>
      <c r="Y29">
        <v>34198811.729999997</v>
      </c>
      <c r="Z29"/>
      <c r="AA29"/>
    </row>
    <row r="30" spans="1:27" x14ac:dyDescent="0.2">
      <c r="A30" s="75">
        <v>44395</v>
      </c>
      <c r="B30" s="76">
        <v>44267756.039999999</v>
      </c>
      <c r="C30" s="59">
        <f t="shared" si="5"/>
        <v>41811367.177998811</v>
      </c>
      <c r="D30" s="59">
        <f t="shared" si="0"/>
        <v>-285980.05812900199</v>
      </c>
      <c r="E30" s="77">
        <f t="shared" si="1"/>
        <v>1.0587493073724157</v>
      </c>
      <c r="F30" s="54">
        <f t="shared" si="2"/>
        <v>43964974.851533592</v>
      </c>
      <c r="G30" s="59">
        <f t="shared" si="6"/>
        <v>302781.18846640736</v>
      </c>
      <c r="H30" s="59">
        <f t="shared" si="3"/>
        <v>302781.18846640736</v>
      </c>
      <c r="I30" s="59">
        <f t="shared" si="4"/>
        <v>91676448089.130096</v>
      </c>
      <c r="J30" s="12">
        <f t="shared" si="8"/>
        <v>6.8397681642777793E-3</v>
      </c>
      <c r="K30" s="7">
        <v>28</v>
      </c>
      <c r="S30">
        <v>4</v>
      </c>
      <c r="T30">
        <v>48674888.57309486</v>
      </c>
      <c r="U30">
        <v>556165.25690513849</v>
      </c>
      <c r="V30">
        <v>0.19581308295020969</v>
      </c>
      <c r="W30"/>
      <c r="X30">
        <v>6.7307692307692308</v>
      </c>
      <c r="Y30">
        <v>34296470.530000001</v>
      </c>
      <c r="Z30"/>
      <c r="AA30"/>
    </row>
    <row r="31" spans="1:27" x14ac:dyDescent="0.2">
      <c r="A31" s="75">
        <v>44402</v>
      </c>
      <c r="B31" s="76">
        <v>42167175.170000002</v>
      </c>
      <c r="C31" s="59">
        <f t="shared" si="5"/>
        <v>41525387.119869806</v>
      </c>
      <c r="D31" s="59">
        <f t="shared" si="0"/>
        <v>-285980.05812900199</v>
      </c>
      <c r="E31" s="77">
        <f t="shared" si="1"/>
        <v>1.0154553176898165</v>
      </c>
      <c r="F31" s="54">
        <f t="shared" si="2"/>
        <v>41876775.199219666</v>
      </c>
      <c r="G31" s="59">
        <f t="shared" si="6"/>
        <v>290399.97078033537</v>
      </c>
      <c r="H31" s="59">
        <f t="shared" si="3"/>
        <v>290399.97078033537</v>
      </c>
      <c r="I31" s="59">
        <f t="shared" si="4"/>
        <v>84332143029.219635</v>
      </c>
      <c r="J31" s="12">
        <f t="shared" si="8"/>
        <v>6.8868727774522949E-3</v>
      </c>
      <c r="K31" s="7">
        <v>29</v>
      </c>
      <c r="S31">
        <v>5</v>
      </c>
      <c r="T31">
        <v>48388908.514965855</v>
      </c>
      <c r="U31">
        <v>11957549.865034148</v>
      </c>
      <c r="V31">
        <v>4.2099801714197431</v>
      </c>
      <c r="W31"/>
      <c r="X31">
        <v>8.6538461538461533</v>
      </c>
      <c r="Y31">
        <v>36953581.43</v>
      </c>
      <c r="Z31"/>
      <c r="AA31"/>
    </row>
    <row r="32" spans="1:27" x14ac:dyDescent="0.2">
      <c r="A32" s="75">
        <v>44409</v>
      </c>
      <c r="B32" s="76">
        <v>40900447.560000002</v>
      </c>
      <c r="C32" s="59">
        <f t="shared" si="5"/>
        <v>41239407.061740808</v>
      </c>
      <c r="D32" s="59">
        <f t="shared" si="0"/>
        <v>-285980.05812900199</v>
      </c>
      <c r="E32" s="77">
        <f t="shared" si="1"/>
        <v>0.99178068925110052</v>
      </c>
      <c r="F32" s="54">
        <f t="shared" si="2"/>
        <v>40616818.060836747</v>
      </c>
      <c r="G32" s="59">
        <f t="shared" si="6"/>
        <v>283629.4991632551</v>
      </c>
      <c r="H32" s="59">
        <f t="shared" si="3"/>
        <v>283629.4991632551</v>
      </c>
      <c r="I32" s="59">
        <f t="shared" si="4"/>
        <v>80445692795.598923</v>
      </c>
      <c r="J32" s="12">
        <f t="shared" si="8"/>
        <v>6.9346306968200589E-3</v>
      </c>
      <c r="K32" s="7">
        <v>30</v>
      </c>
      <c r="S32">
        <v>6</v>
      </c>
      <c r="T32">
        <v>48102928.456836857</v>
      </c>
      <c r="U32">
        <v>-637724.7068368569</v>
      </c>
      <c r="V32">
        <v>-0.22452830227858464</v>
      </c>
      <c r="W32"/>
      <c r="X32">
        <v>10.576923076923077</v>
      </c>
      <c r="Y32">
        <v>36975939.979999997</v>
      </c>
      <c r="Z32"/>
      <c r="AA32"/>
    </row>
    <row r="33" spans="1:27" x14ac:dyDescent="0.2">
      <c r="A33" s="75">
        <v>44416</v>
      </c>
      <c r="B33" s="76">
        <v>41213494.560000002</v>
      </c>
      <c r="C33" s="59">
        <f t="shared" si="5"/>
        <v>40953427.003611803</v>
      </c>
      <c r="D33" s="59">
        <f t="shared" si="0"/>
        <v>-285980.05812900199</v>
      </c>
      <c r="E33" s="77">
        <f t="shared" si="1"/>
        <v>1.0063503246349874</v>
      </c>
      <c r="F33" s="54">
        <f t="shared" si="2"/>
        <v>40925698.435662739</v>
      </c>
      <c r="G33" s="59">
        <f t="shared" si="6"/>
        <v>287796.12433726341</v>
      </c>
      <c r="H33" s="59">
        <f t="shared" si="3"/>
        <v>287796.12433726341</v>
      </c>
      <c r="I33" s="59">
        <f t="shared" si="4"/>
        <v>82826609183.549576</v>
      </c>
      <c r="J33" s="12">
        <f t="shared" si="8"/>
        <v>6.9830556086012087E-3</v>
      </c>
      <c r="K33" s="7">
        <v>31</v>
      </c>
      <c r="M33" s="100"/>
      <c r="N33" s="100"/>
      <c r="O33" s="100"/>
      <c r="P33" s="56"/>
      <c r="S33">
        <v>7</v>
      </c>
      <c r="T33">
        <v>47816948.398707852</v>
      </c>
      <c r="U33">
        <v>-4689344.7687078491</v>
      </c>
      <c r="V33">
        <v>-1.6510111783802766</v>
      </c>
      <c r="W33"/>
      <c r="X33">
        <v>12.5</v>
      </c>
      <c r="Y33">
        <v>37044007.579999998</v>
      </c>
      <c r="Z33"/>
      <c r="AA33"/>
    </row>
    <row r="34" spans="1:27" ht="16" thickBot="1" x14ac:dyDescent="0.25">
      <c r="A34" s="75">
        <v>44423</v>
      </c>
      <c r="B34" s="76">
        <v>40555745.409999996</v>
      </c>
      <c r="C34" s="59">
        <f t="shared" si="5"/>
        <v>40667446.945482805</v>
      </c>
      <c r="D34" s="59">
        <f t="shared" si="0"/>
        <v>-285980.05812900199</v>
      </c>
      <c r="E34" s="77">
        <f t="shared" si="1"/>
        <v>0.99725329363231108</v>
      </c>
      <c r="F34" s="54">
        <f t="shared" si="2"/>
        <v>40270550.855117686</v>
      </c>
      <c r="G34" s="59">
        <f t="shared" si="6"/>
        <v>285194.55488231033</v>
      </c>
      <c r="H34" s="59">
        <f t="shared" si="3"/>
        <v>285194.55488231033</v>
      </c>
      <c r="I34" s="59">
        <f t="shared" si="4"/>
        <v>81335934134.519119</v>
      </c>
      <c r="J34" s="12">
        <f t="shared" si="8"/>
        <v>7.0321615839907294E-3</v>
      </c>
      <c r="K34" s="7">
        <v>32</v>
      </c>
      <c r="M34" s="100"/>
      <c r="N34" s="100"/>
      <c r="O34" s="100"/>
      <c r="P34" s="56"/>
      <c r="S34">
        <v>8</v>
      </c>
      <c r="T34">
        <v>47530968.340578847</v>
      </c>
      <c r="U34">
        <v>1501795.789421156</v>
      </c>
      <c r="V34">
        <v>0.52874799322165911</v>
      </c>
      <c r="W34"/>
      <c r="X34">
        <v>14.423076923076923</v>
      </c>
      <c r="Y34">
        <v>37095732.520000003</v>
      </c>
      <c r="Z34"/>
      <c r="AA34"/>
    </row>
    <row r="35" spans="1:27" x14ac:dyDescent="0.2">
      <c r="A35" s="75">
        <v>44430</v>
      </c>
      <c r="B35" s="76">
        <v>40045322.75</v>
      </c>
      <c r="C35" s="59">
        <f t="shared" si="5"/>
        <v>40381466.8873538</v>
      </c>
      <c r="D35" s="59">
        <f t="shared" si="0"/>
        <v>-285980.05812900199</v>
      </c>
      <c r="E35" s="77">
        <f t="shared" si="1"/>
        <v>0.99167578190531092</v>
      </c>
      <c r="F35" s="54">
        <f t="shared" si="2"/>
        <v>39761723.252245598</v>
      </c>
      <c r="G35" s="59">
        <f t="shared" si="6"/>
        <v>283599.49775440246</v>
      </c>
      <c r="H35" s="59">
        <f t="shared" si="3"/>
        <v>283599.49775440246</v>
      </c>
      <c r="I35" s="59">
        <f t="shared" si="4"/>
        <v>80428675126.549332</v>
      </c>
      <c r="J35" s="12">
        <f t="shared" si="8"/>
        <v>7.0819630927909669E-3</v>
      </c>
      <c r="K35" s="7">
        <v>33</v>
      </c>
      <c r="M35" s="97" t="s">
        <v>78</v>
      </c>
      <c r="N35" s="98"/>
      <c r="O35" s="98"/>
      <c r="P35" s="49">
        <f>AVERAGE(H3:H140)</f>
        <v>1609617.7093491887</v>
      </c>
      <c r="S35">
        <v>9</v>
      </c>
      <c r="T35">
        <v>47244988.282449849</v>
      </c>
      <c r="U35">
        <v>-151123.86244984716</v>
      </c>
      <c r="V35">
        <v>-5.3207259975779686E-2</v>
      </c>
      <c r="W35"/>
      <c r="X35">
        <v>16.346153846153847</v>
      </c>
      <c r="Y35">
        <v>37186009.770000003</v>
      </c>
      <c r="Z35"/>
      <c r="AA35"/>
    </row>
    <row r="36" spans="1:27" x14ac:dyDescent="0.2">
      <c r="A36" s="75">
        <v>44437</v>
      </c>
      <c r="B36" s="76">
        <v>40250740.990000002</v>
      </c>
      <c r="C36" s="59">
        <f t="shared" si="5"/>
        <v>40095486.829224795</v>
      </c>
      <c r="D36" s="59">
        <f t="shared" si="0"/>
        <v>-285980.05812900199</v>
      </c>
      <c r="E36" s="77">
        <f t="shared" si="1"/>
        <v>1.003872110630218</v>
      </c>
      <c r="F36" s="54">
        <f t="shared" si="2"/>
        <v>39963653.585447885</v>
      </c>
      <c r="G36" s="59">
        <f t="shared" si="6"/>
        <v>287087.40455211699</v>
      </c>
      <c r="H36" s="59">
        <f t="shared" si="3"/>
        <v>287087.40455211699</v>
      </c>
      <c r="I36" s="59">
        <f t="shared" si="4"/>
        <v>82419177852.470886</v>
      </c>
      <c r="J36" s="12">
        <f t="shared" si="8"/>
        <v>7.1324750176261784E-3</v>
      </c>
      <c r="K36" s="7">
        <v>34</v>
      </c>
      <c r="M36" s="99" t="s">
        <v>79</v>
      </c>
      <c r="N36" s="100"/>
      <c r="O36" s="100"/>
      <c r="P36" s="50">
        <f>AVERAGE(I3:I140)</f>
        <v>8024090457390.792</v>
      </c>
      <c r="S36">
        <v>10</v>
      </c>
      <c r="T36">
        <v>46959008.224320844</v>
      </c>
      <c r="U36">
        <v>-175596.2143208459</v>
      </c>
      <c r="V36">
        <v>-6.1823416068607931E-2</v>
      </c>
      <c r="W36"/>
      <c r="X36">
        <v>18.269230769230766</v>
      </c>
      <c r="Y36">
        <v>37186464.780000001</v>
      </c>
      <c r="Z36"/>
      <c r="AA36"/>
    </row>
    <row r="37" spans="1:27" ht="16" thickBot="1" x14ac:dyDescent="0.25">
      <c r="A37" s="75">
        <v>44444</v>
      </c>
      <c r="B37" s="76">
        <v>40547413.75</v>
      </c>
      <c r="C37" s="59">
        <f t="shared" si="5"/>
        <v>39809506.771095797</v>
      </c>
      <c r="D37" s="59">
        <f t="shared" si="0"/>
        <v>-285980.05812900199</v>
      </c>
      <c r="E37" s="77">
        <f t="shared" si="1"/>
        <v>1.0185359487910051</v>
      </c>
      <c r="F37" s="54">
        <f t="shared" si="2"/>
        <v>40256132.780158266</v>
      </c>
      <c r="G37" s="59">
        <f t="shared" si="6"/>
        <v>291280.96984173357</v>
      </c>
      <c r="H37" s="59">
        <f t="shared" si="3"/>
        <v>291280.96984173357</v>
      </c>
      <c r="I37" s="59">
        <f t="shared" si="4"/>
        <v>84844603391.940903</v>
      </c>
      <c r="J37" s="12">
        <f t="shared" si="8"/>
        <v>7.1837126687699917E-3</v>
      </c>
      <c r="K37" s="7">
        <v>35</v>
      </c>
      <c r="M37" s="101" t="s">
        <v>80</v>
      </c>
      <c r="N37" s="102"/>
      <c r="O37" s="102"/>
      <c r="P37" s="57">
        <f>ABS(AVERAGE(J3:J140))</f>
        <v>7.496960593171456E-3</v>
      </c>
      <c r="S37">
        <v>11</v>
      </c>
      <c r="T37">
        <v>46673028.166191846</v>
      </c>
      <c r="U37">
        <v>-1168927.5661918446</v>
      </c>
      <c r="V37">
        <v>-0.41155269524602994</v>
      </c>
      <c r="W37"/>
      <c r="X37">
        <v>20.19230769230769</v>
      </c>
      <c r="Y37">
        <v>37206700.189999998</v>
      </c>
      <c r="Z37"/>
      <c r="AA37"/>
    </row>
    <row r="38" spans="1:27" x14ac:dyDescent="0.2">
      <c r="A38" s="75">
        <v>44451</v>
      </c>
      <c r="B38" s="76">
        <v>37744433.960000001</v>
      </c>
      <c r="C38" s="59">
        <f t="shared" si="5"/>
        <v>39523526.712966792</v>
      </c>
      <c r="D38" s="59">
        <f t="shared" si="0"/>
        <v>-285980.05812900199</v>
      </c>
      <c r="E38" s="77">
        <f t="shared" si="1"/>
        <v>0.95498648777253192</v>
      </c>
      <c r="F38" s="54">
        <f t="shared" si="2"/>
        <v>37471326.8687144</v>
      </c>
      <c r="G38" s="59">
        <f t="shared" si="6"/>
        <v>273107.09128560126</v>
      </c>
      <c r="H38" s="59">
        <f t="shared" si="3"/>
        <v>273107.09128560126</v>
      </c>
      <c r="I38" s="59">
        <f t="shared" si="4"/>
        <v>74587483310.481735</v>
      </c>
      <c r="J38" s="12">
        <f t="shared" si="8"/>
        <v>7.2356917996181614E-3</v>
      </c>
      <c r="K38" s="7">
        <v>36</v>
      </c>
      <c r="M38" s="100"/>
      <c r="N38" s="100"/>
      <c r="O38" s="100"/>
      <c r="P38" s="44"/>
      <c r="S38">
        <v>12</v>
      </c>
      <c r="T38">
        <v>46387048.108062841</v>
      </c>
      <c r="U38">
        <v>-870222.81806284189</v>
      </c>
      <c r="V38">
        <v>-0.30638557648625053</v>
      </c>
      <c r="W38"/>
      <c r="X38">
        <v>22.115384615384613</v>
      </c>
      <c r="Y38">
        <v>37503465.100000001</v>
      </c>
      <c r="Z38"/>
      <c r="AA38"/>
    </row>
    <row r="39" spans="1:27" ht="16" thickBot="1" x14ac:dyDescent="0.25">
      <c r="A39" s="75">
        <v>44458</v>
      </c>
      <c r="B39" s="76">
        <v>36953581.43</v>
      </c>
      <c r="C39" s="59">
        <f t="shared" si="5"/>
        <v>39237546.654837787</v>
      </c>
      <c r="D39" s="59">
        <f t="shared" si="0"/>
        <v>-285980.05812900199</v>
      </c>
      <c r="E39" s="77">
        <f t="shared" si="1"/>
        <v>0.94179133458752606</v>
      </c>
      <c r="F39" s="54">
        <f t="shared" si="2"/>
        <v>36684247.889389262</v>
      </c>
      <c r="G39" s="59">
        <f t="shared" si="6"/>
        <v>269333.5406107381</v>
      </c>
      <c r="H39" s="59">
        <f t="shared" si="3"/>
        <v>269333.5406107381</v>
      </c>
      <c r="I39" s="59">
        <f t="shared" si="4"/>
        <v>72540556097.916107</v>
      </c>
      <c r="J39" s="12">
        <f t="shared" si="8"/>
        <v>7.288428622836682E-3</v>
      </c>
      <c r="K39" s="7">
        <v>37</v>
      </c>
      <c r="P39" s="44"/>
      <c r="S39">
        <v>13</v>
      </c>
      <c r="T39">
        <v>46101068.049933836</v>
      </c>
      <c r="U39">
        <v>-3256369.3299338371</v>
      </c>
      <c r="V39">
        <v>-1.1464932586172158</v>
      </c>
      <c r="W39"/>
      <c r="X39">
        <v>24.038461538461537</v>
      </c>
      <c r="Y39">
        <v>37545418.68</v>
      </c>
      <c r="Z39"/>
      <c r="AA39"/>
    </row>
    <row r="40" spans="1:27" x14ac:dyDescent="0.2">
      <c r="A40" s="75">
        <v>44465</v>
      </c>
      <c r="B40" s="76">
        <v>37044007.579999998</v>
      </c>
      <c r="C40" s="59">
        <f t="shared" si="5"/>
        <v>38951566.596708789</v>
      </c>
      <c r="D40" s="59">
        <f t="shared" si="0"/>
        <v>-285980.05812900199</v>
      </c>
      <c r="E40" s="77">
        <f t="shared" si="1"/>
        <v>0.95102741215882258</v>
      </c>
      <c r="F40" s="54">
        <f t="shared" si="2"/>
        <v>36772032.705388539</v>
      </c>
      <c r="G40" s="59">
        <f t="shared" si="6"/>
        <v>271974.87461145967</v>
      </c>
      <c r="H40" s="59">
        <f t="shared" si="3"/>
        <v>271974.87461145967</v>
      </c>
      <c r="I40" s="59">
        <f t="shared" si="4"/>
        <v>73970332419.919205</v>
      </c>
      <c r="J40" s="12">
        <f t="shared" si="8"/>
        <v>7.3419398272204887E-3</v>
      </c>
      <c r="K40" s="7">
        <v>38</v>
      </c>
      <c r="M40" s="97" t="s">
        <v>81</v>
      </c>
      <c r="N40" s="98"/>
      <c r="O40" s="98"/>
      <c r="P40" s="51">
        <f>AVERAGE(H141:H174)</f>
        <v>1872699.6244709077</v>
      </c>
      <c r="Q40" s="37"/>
      <c r="S40">
        <v>14</v>
      </c>
      <c r="T40">
        <v>45815087.991804838</v>
      </c>
      <c r="U40">
        <v>-3607362.41180484</v>
      </c>
      <c r="V40">
        <v>-1.2700699053099793</v>
      </c>
      <c r="W40"/>
      <c r="X40">
        <v>25.96153846153846</v>
      </c>
      <c r="Y40">
        <v>37744433.960000001</v>
      </c>
      <c r="Z40"/>
      <c r="AA40"/>
    </row>
    <row r="41" spans="1:27" x14ac:dyDescent="0.2">
      <c r="A41" s="75">
        <v>44472</v>
      </c>
      <c r="B41" s="76">
        <v>37503465.100000001</v>
      </c>
      <c r="C41" s="59">
        <f t="shared" si="5"/>
        <v>38665586.538579792</v>
      </c>
      <c r="D41" s="59">
        <f t="shared" si="0"/>
        <v>-285980.05812900199</v>
      </c>
      <c r="E41" s="77">
        <f t="shared" si="1"/>
        <v>0.96994429562266571</v>
      </c>
      <c r="F41" s="54">
        <f t="shared" si="2"/>
        <v>37226080.373955935</v>
      </c>
      <c r="G41" s="59">
        <f t="shared" si="6"/>
        <v>277384.72604406625</v>
      </c>
      <c r="H41" s="59">
        <f t="shared" si="3"/>
        <v>277384.72604406625</v>
      </c>
      <c r="I41" s="59">
        <f t="shared" si="4"/>
        <v>76942286242.541687</v>
      </c>
      <c r="J41" s="12">
        <f t="shared" si="8"/>
        <v>7.3962425953026465E-3</v>
      </c>
      <c r="K41" s="7">
        <v>39</v>
      </c>
      <c r="M41" s="99" t="s">
        <v>82</v>
      </c>
      <c r="N41" s="100"/>
      <c r="O41" s="100"/>
      <c r="P41" s="52">
        <f>AVERAGE(I141:I174)</f>
        <v>5111583495484.1299</v>
      </c>
      <c r="S41">
        <v>15</v>
      </c>
      <c r="T41">
        <v>45529107.933675833</v>
      </c>
      <c r="U41">
        <v>-2002142.8436758295</v>
      </c>
      <c r="V41">
        <v>-0.70490876202598285</v>
      </c>
      <c r="W41"/>
      <c r="X41">
        <v>27.884615384615383</v>
      </c>
      <c r="Y41">
        <v>38190146.960000001</v>
      </c>
      <c r="Z41"/>
      <c r="AA41"/>
    </row>
    <row r="42" spans="1:27" ht="16" thickBot="1" x14ac:dyDescent="0.25">
      <c r="A42" s="75">
        <v>44479</v>
      </c>
      <c r="B42" s="76">
        <v>37545418.68</v>
      </c>
      <c r="C42" s="59">
        <f t="shared" si="5"/>
        <v>38379606.480450787</v>
      </c>
      <c r="D42" s="59">
        <f t="shared" si="0"/>
        <v>-285980.05812900199</v>
      </c>
      <c r="E42" s="77">
        <f t="shared" si="1"/>
        <v>0.97826481621494232</v>
      </c>
      <c r="F42" s="54">
        <f t="shared" si="2"/>
        <v>37265654.450993292</v>
      </c>
      <c r="G42" s="59">
        <f t="shared" si="6"/>
        <v>279764.22900670767</v>
      </c>
      <c r="H42" s="59">
        <f t="shared" si="3"/>
        <v>279764.22900670767</v>
      </c>
      <c r="I42" s="59">
        <f t="shared" si="4"/>
        <v>78268023831.717575</v>
      </c>
      <c r="J42" s="12">
        <f t="shared" si="8"/>
        <v>7.4513546217486919E-3</v>
      </c>
      <c r="K42" s="7">
        <v>40</v>
      </c>
      <c r="M42" s="101" t="s">
        <v>83</v>
      </c>
      <c r="N42" s="102"/>
      <c r="O42" s="102"/>
      <c r="P42" s="53">
        <f>ABS(AVERAGE(J141:J174))</f>
        <v>1.7388421382297025E-2</v>
      </c>
      <c r="S42">
        <v>16</v>
      </c>
      <c r="T42">
        <v>45243127.875546835</v>
      </c>
      <c r="U42">
        <v>-2114342.6955468357</v>
      </c>
      <c r="V42">
        <v>-0.74441176698475164</v>
      </c>
      <c r="W42"/>
      <c r="X42">
        <v>29.807692307692307</v>
      </c>
      <c r="Y42">
        <v>38369371.490000002</v>
      </c>
      <c r="Z42"/>
      <c r="AA42"/>
    </row>
    <row r="43" spans="1:27" x14ac:dyDescent="0.2">
      <c r="A43" s="75">
        <v>44486</v>
      </c>
      <c r="B43" s="76">
        <v>37206700.189999998</v>
      </c>
      <c r="C43" s="59">
        <f t="shared" si="5"/>
        <v>38093626.422321782</v>
      </c>
      <c r="D43" s="59">
        <f t="shared" si="0"/>
        <v>-285980.05812900199</v>
      </c>
      <c r="E43" s="77">
        <f t="shared" si="1"/>
        <v>0.97671720138983487</v>
      </c>
      <c r="F43" s="54">
        <f t="shared" si="2"/>
        <v>36927378.547970936</v>
      </c>
      <c r="G43" s="59">
        <f t="shared" si="6"/>
        <v>279321.64202906191</v>
      </c>
      <c r="H43" s="59">
        <f t="shared" si="3"/>
        <v>279321.64202906191</v>
      </c>
      <c r="I43" s="59">
        <f t="shared" si="4"/>
        <v>78020579705.811401</v>
      </c>
      <c r="J43" s="12">
        <f t="shared" si="8"/>
        <v>7.5072941325803159E-3</v>
      </c>
      <c r="K43" s="7">
        <v>41</v>
      </c>
      <c r="S43">
        <v>17</v>
      </c>
      <c r="T43">
        <v>44957147.81741783</v>
      </c>
      <c r="U43">
        <v>5336663.8025821671</v>
      </c>
      <c r="V43">
        <v>1.8789174240537652</v>
      </c>
      <c r="W43"/>
      <c r="X43">
        <v>31.73076923076923</v>
      </c>
      <c r="Y43">
        <v>40045322.75</v>
      </c>
      <c r="Z43"/>
      <c r="AA43"/>
    </row>
    <row r="44" spans="1:27" x14ac:dyDescent="0.2">
      <c r="A44" s="75">
        <v>44493</v>
      </c>
      <c r="B44" s="76">
        <v>36975939.979999997</v>
      </c>
      <c r="C44" s="59">
        <f t="shared" si="5"/>
        <v>37807646.364192784</v>
      </c>
      <c r="D44" s="59">
        <f t="shared" si="0"/>
        <v>-285980.05812900199</v>
      </c>
      <c r="E44" s="77">
        <f t="shared" si="1"/>
        <v>0.97800163553739528</v>
      </c>
      <c r="F44" s="54">
        <f t="shared" si="2"/>
        <v>36696251.015418753</v>
      </c>
      <c r="G44" s="59">
        <f t="shared" si="6"/>
        <v>279688.96458124369</v>
      </c>
      <c r="H44" s="59">
        <f t="shared" si="3"/>
        <v>279688.96458124369</v>
      </c>
      <c r="I44" s="59">
        <f t="shared" si="4"/>
        <v>78225916908.528183</v>
      </c>
      <c r="J44" s="12">
        <f t="shared" si="8"/>
        <v>7.5640799052715179E-3</v>
      </c>
      <c r="K44" s="7">
        <v>42</v>
      </c>
      <c r="S44">
        <v>18</v>
      </c>
      <c r="T44">
        <v>44671167.759288833</v>
      </c>
      <c r="U44">
        <v>1719720.3207111657</v>
      </c>
      <c r="V44">
        <v>0.60547424282565876</v>
      </c>
      <c r="W44"/>
      <c r="X44">
        <v>33.653846153846153</v>
      </c>
      <c r="Y44">
        <v>40250740.990000002</v>
      </c>
      <c r="Z44"/>
      <c r="AA44"/>
    </row>
    <row r="45" spans="1:27" ht="16" thickBot="1" x14ac:dyDescent="0.25">
      <c r="A45" s="75">
        <v>44500</v>
      </c>
      <c r="B45" s="76">
        <v>37095732.520000003</v>
      </c>
      <c r="C45" s="59">
        <f t="shared" si="5"/>
        <v>37521666.306063779</v>
      </c>
      <c r="D45" s="59">
        <f t="shared" si="0"/>
        <v>-285980.05812900199</v>
      </c>
      <c r="E45" s="77">
        <f t="shared" si="1"/>
        <v>0.98864832434174332</v>
      </c>
      <c r="F45" s="54">
        <f t="shared" si="2"/>
        <v>36812998.814735606</v>
      </c>
      <c r="G45" s="59">
        <f t="shared" si="6"/>
        <v>282733.70526439697</v>
      </c>
      <c r="H45" s="59">
        <f t="shared" si="3"/>
        <v>282733.70526439697</v>
      </c>
      <c r="I45" s="59">
        <f t="shared" si="4"/>
        <v>79938348092.534897</v>
      </c>
      <c r="J45" s="12">
        <f t="shared" si="8"/>
        <v>7.6217312897639182E-3</v>
      </c>
      <c r="K45" s="7">
        <v>43</v>
      </c>
      <c r="S45">
        <v>19</v>
      </c>
      <c r="T45">
        <v>44385187.701159827</v>
      </c>
      <c r="U45">
        <v>-1645590.0311598256</v>
      </c>
      <c r="V45">
        <v>-0.57937466116927439</v>
      </c>
      <c r="W45"/>
      <c r="X45">
        <v>35.576923076923073</v>
      </c>
      <c r="Y45">
        <v>40547413.75</v>
      </c>
      <c r="Z45"/>
      <c r="AA45"/>
    </row>
    <row r="46" spans="1:27" x14ac:dyDescent="0.2">
      <c r="A46" s="75">
        <v>44507</v>
      </c>
      <c r="B46" s="76">
        <v>38369371.490000002</v>
      </c>
      <c r="C46" s="59">
        <f t="shared" si="5"/>
        <v>37235686.247934774</v>
      </c>
      <c r="D46" s="59">
        <f t="shared" si="0"/>
        <v>-285980.05812900199</v>
      </c>
      <c r="E46" s="77">
        <f t="shared" si="1"/>
        <v>1.0304462024552619</v>
      </c>
      <c r="F46" s="54">
        <f t="shared" si="2"/>
        <v>38074684.425123036</v>
      </c>
      <c r="G46" s="59">
        <f t="shared" si="6"/>
        <v>294687.06487696618</v>
      </c>
      <c r="H46" s="59">
        <f t="shared" si="3"/>
        <v>294687.06487696618</v>
      </c>
      <c r="I46" s="59">
        <f t="shared" si="4"/>
        <v>86840466205.80127</v>
      </c>
      <c r="J46" s="12">
        <f t="shared" si="8"/>
        <v>7.6802682304496139E-3</v>
      </c>
      <c r="K46" s="7">
        <v>44</v>
      </c>
      <c r="M46" s="103" t="s">
        <v>84</v>
      </c>
      <c r="N46" s="104"/>
      <c r="O46" s="104"/>
      <c r="P46" s="42">
        <f>P40</f>
        <v>1872699.6244709077</v>
      </c>
      <c r="Q46" s="22"/>
      <c r="S46">
        <v>20</v>
      </c>
      <c r="T46">
        <v>44099207.643030822</v>
      </c>
      <c r="U46">
        <v>-769938.0530308187</v>
      </c>
      <c r="V46">
        <v>-0.27107760143737542</v>
      </c>
      <c r="W46"/>
      <c r="X46">
        <v>37.5</v>
      </c>
      <c r="Y46">
        <v>40555745.409999996</v>
      </c>
      <c r="Z46"/>
      <c r="AA46"/>
    </row>
    <row r="47" spans="1:27" ht="16" x14ac:dyDescent="0.2">
      <c r="A47" s="75">
        <v>44514</v>
      </c>
      <c r="B47" s="76">
        <v>37186464.780000001</v>
      </c>
      <c r="C47" s="59">
        <f t="shared" si="5"/>
        <v>36949706.189805776</v>
      </c>
      <c r="D47" s="59">
        <f t="shared" si="0"/>
        <v>-285980.05812900199</v>
      </c>
      <c r="E47" s="77">
        <f t="shared" si="1"/>
        <v>1.0064075906037799</v>
      </c>
      <c r="F47" s="54">
        <f t="shared" si="2"/>
        <v>36898652.278737664</v>
      </c>
      <c r="G47" s="59">
        <f t="shared" si="6"/>
        <v>287812.50126233697</v>
      </c>
      <c r="H47" s="59">
        <f t="shared" si="3"/>
        <v>287812.50126233697</v>
      </c>
      <c r="I47" s="59">
        <f t="shared" si="4"/>
        <v>82836035882.882721</v>
      </c>
      <c r="J47" s="12">
        <f t="shared" si="8"/>
        <v>7.7397112891766789E-3</v>
      </c>
      <c r="K47" s="7">
        <v>45</v>
      </c>
      <c r="M47" s="93" t="s">
        <v>85</v>
      </c>
      <c r="N47" s="94"/>
      <c r="O47" s="94"/>
      <c r="P47" s="40">
        <f>STDEV(G141:G174)</f>
        <v>2120665.8827363816</v>
      </c>
      <c r="Q47" s="23" t="s">
        <v>86</v>
      </c>
      <c r="S47">
        <v>21</v>
      </c>
      <c r="T47">
        <v>43813227.584901825</v>
      </c>
      <c r="U47">
        <v>48818.27509817481</v>
      </c>
      <c r="V47">
        <v>1.7187799548067637E-2</v>
      </c>
      <c r="W47"/>
      <c r="X47">
        <v>39.42307692307692</v>
      </c>
      <c r="Y47">
        <v>40900447.560000002</v>
      </c>
      <c r="Z47"/>
      <c r="AA47"/>
    </row>
    <row r="48" spans="1:27" x14ac:dyDescent="0.2">
      <c r="A48" s="75">
        <v>44521</v>
      </c>
      <c r="B48" s="76">
        <v>34198811.729999997</v>
      </c>
      <c r="C48" s="59">
        <f t="shared" si="5"/>
        <v>36663726.131676778</v>
      </c>
      <c r="D48" s="59">
        <f t="shared" si="0"/>
        <v>-285980.05812900199</v>
      </c>
      <c r="E48" s="77">
        <f t="shared" si="1"/>
        <v>0.9327696701414333</v>
      </c>
      <c r="F48" s="54">
        <f t="shared" si="2"/>
        <v>33932058.20551198</v>
      </c>
      <c r="G48" s="59">
        <f t="shared" si="6"/>
        <v>266753.52448801696</v>
      </c>
      <c r="H48" s="59">
        <f t="shared" si="3"/>
        <v>266753.52448801696</v>
      </c>
      <c r="I48" s="59">
        <f t="shared" si="4"/>
        <v>71157442826.779068</v>
      </c>
      <c r="J48" s="12">
        <f t="shared" si="8"/>
        <v>7.8000816693293042E-3</v>
      </c>
      <c r="K48" s="7">
        <v>46</v>
      </c>
      <c r="M48" s="24"/>
      <c r="N48" s="1"/>
      <c r="O48" s="1"/>
      <c r="P48" s="1"/>
      <c r="Q48" s="25"/>
      <c r="S48">
        <v>22</v>
      </c>
      <c r="T48">
        <v>43527247.526772819</v>
      </c>
      <c r="U48">
        <v>235343.34322717786</v>
      </c>
      <c r="V48">
        <v>8.2859015404090908E-2</v>
      </c>
      <c r="W48"/>
      <c r="X48">
        <v>41.346153846153847</v>
      </c>
      <c r="Y48">
        <v>41213494.560000002</v>
      </c>
      <c r="Z48"/>
      <c r="AA48"/>
    </row>
    <row r="49" spans="1:27" x14ac:dyDescent="0.2">
      <c r="A49" s="75">
        <v>44528</v>
      </c>
      <c r="B49" s="76">
        <v>31082607.98</v>
      </c>
      <c r="C49" s="59">
        <f t="shared" si="5"/>
        <v>36377746.073547773</v>
      </c>
      <c r="D49" s="59">
        <f t="shared" si="0"/>
        <v>-285980.05812900199</v>
      </c>
      <c r="E49" s="77">
        <f t="shared" si="1"/>
        <v>0.85444018211457706</v>
      </c>
      <c r="F49" s="54">
        <f t="shared" si="2"/>
        <v>30838255.127051115</v>
      </c>
      <c r="G49" s="59">
        <f t="shared" si="6"/>
        <v>244352.85294888541</v>
      </c>
      <c r="H49" s="59">
        <f t="shared" si="3"/>
        <v>244352.85294888541</v>
      </c>
      <c r="I49" s="59">
        <f t="shared" si="4"/>
        <v>59708316744.259621</v>
      </c>
      <c r="J49" s="12">
        <f t="shared" si="8"/>
        <v>7.8614012410449415E-3</v>
      </c>
      <c r="K49" s="7">
        <v>47</v>
      </c>
      <c r="M49" s="93" t="s">
        <v>87</v>
      </c>
      <c r="N49" s="94"/>
      <c r="O49" s="94"/>
      <c r="P49" s="7">
        <v>34</v>
      </c>
      <c r="Q49" s="25" t="s">
        <v>88</v>
      </c>
      <c r="S49">
        <v>23</v>
      </c>
      <c r="T49">
        <v>43241267.468643822</v>
      </c>
      <c r="U49">
        <v>63134.761356174946</v>
      </c>
      <c r="V49">
        <v>2.2228307340289306E-2</v>
      </c>
      <c r="W49"/>
      <c r="X49">
        <v>43.269230769230766</v>
      </c>
      <c r="Y49">
        <v>42167175.170000002</v>
      </c>
      <c r="Z49"/>
      <c r="AA49"/>
    </row>
    <row r="50" spans="1:27" x14ac:dyDescent="0.2">
      <c r="A50" s="75">
        <v>44535</v>
      </c>
      <c r="B50" s="76">
        <v>38190146.960000001</v>
      </c>
      <c r="C50" s="59">
        <f t="shared" si="5"/>
        <v>36091766.015418768</v>
      </c>
      <c r="D50" s="59">
        <f t="shared" si="0"/>
        <v>-285980.05812900199</v>
      </c>
      <c r="E50" s="77">
        <f t="shared" si="1"/>
        <v>1.0581401570564539</v>
      </c>
      <c r="F50" s="54">
        <f t="shared" si="2"/>
        <v>37887539.976376362</v>
      </c>
      <c r="G50" s="59">
        <f t="shared" si="6"/>
        <v>302606.98362363875</v>
      </c>
      <c r="H50" s="59">
        <f t="shared" si="3"/>
        <v>302606.98362363875</v>
      </c>
      <c r="I50" s="59">
        <f t="shared" si="4"/>
        <v>91570986537.797165</v>
      </c>
      <c r="J50" s="12">
        <f t="shared" si="8"/>
        <v>7.9236925676297205E-3</v>
      </c>
      <c r="K50" s="7">
        <v>48</v>
      </c>
      <c r="M50" s="93" t="s">
        <v>89</v>
      </c>
      <c r="N50" s="94"/>
      <c r="O50" s="94"/>
      <c r="P50" s="45">
        <v>1.96</v>
      </c>
      <c r="Q50" s="25" t="s">
        <v>90</v>
      </c>
      <c r="S50">
        <v>24</v>
      </c>
      <c r="T50">
        <v>42955287.410514817</v>
      </c>
      <c r="U50">
        <v>740761.01948518306</v>
      </c>
      <c r="V50">
        <v>0.2608050343919171</v>
      </c>
      <c r="W50"/>
      <c r="X50">
        <v>45.192307692307693</v>
      </c>
      <c r="Y50">
        <v>42207725.579999998</v>
      </c>
      <c r="Z50"/>
      <c r="AA50"/>
    </row>
    <row r="51" spans="1:27" x14ac:dyDescent="0.2">
      <c r="A51" s="75">
        <v>44542</v>
      </c>
      <c r="B51" s="76">
        <v>37186009.770000003</v>
      </c>
      <c r="C51" s="59">
        <f t="shared" si="5"/>
        <v>35805785.95728977</v>
      </c>
      <c r="D51" s="59">
        <f t="shared" si="0"/>
        <v>-285980.05812900199</v>
      </c>
      <c r="E51" s="77">
        <f t="shared" si="1"/>
        <v>1.0385475077786759</v>
      </c>
      <c r="F51" s="54">
        <f t="shared" si="2"/>
        <v>36889005.89335572</v>
      </c>
      <c r="G51" s="59">
        <f t="shared" si="6"/>
        <v>297003.87664428353</v>
      </c>
      <c r="H51" s="59">
        <f t="shared" si="3"/>
        <v>297003.87664428353</v>
      </c>
      <c r="I51" s="59">
        <f t="shared" si="4"/>
        <v>88211302741.732788</v>
      </c>
      <c r="J51" s="12">
        <f t="shared" si="8"/>
        <v>7.9869789332409867E-3</v>
      </c>
      <c r="K51" s="7">
        <v>49</v>
      </c>
      <c r="M51" s="93" t="s">
        <v>91</v>
      </c>
      <c r="N51" s="94"/>
      <c r="O51" s="1" t="s">
        <v>92</v>
      </c>
      <c r="P51" s="40">
        <f>P50*P47</f>
        <v>4156505.1301633078</v>
      </c>
      <c r="Q51" s="25" t="s">
        <v>93</v>
      </c>
      <c r="S51">
        <v>25</v>
      </c>
      <c r="T51">
        <v>42669307.352385819</v>
      </c>
      <c r="U51">
        <v>-164603.06238581985</v>
      </c>
      <c r="V51">
        <v>-5.7952978379429032E-2</v>
      </c>
      <c r="W51"/>
      <c r="X51">
        <v>47.115384615384613</v>
      </c>
      <c r="Y51">
        <v>42504704.289999999</v>
      </c>
      <c r="Z51"/>
      <c r="AA51"/>
    </row>
    <row r="52" spans="1:27" ht="16" thickBot="1" x14ac:dyDescent="0.25">
      <c r="A52" s="75">
        <v>44549</v>
      </c>
      <c r="B52" s="76">
        <v>34296470.530000001</v>
      </c>
      <c r="C52" s="59">
        <f t="shared" si="5"/>
        <v>35519805.899160765</v>
      </c>
      <c r="D52" s="59">
        <f t="shared" si="0"/>
        <v>-285980.05812900199</v>
      </c>
      <c r="E52" s="77">
        <f t="shared" si="1"/>
        <v>0.96555906379010736</v>
      </c>
      <c r="F52" s="54">
        <f t="shared" si="2"/>
        <v>34020339.892810315</v>
      </c>
      <c r="G52" s="59">
        <f t="shared" si="6"/>
        <v>276130.6371896863</v>
      </c>
      <c r="H52" s="59">
        <f t="shared" si="3"/>
        <v>276130.6371896863</v>
      </c>
      <c r="I52" s="59">
        <f t="shared" si="4"/>
        <v>76248128794.782166</v>
      </c>
      <c r="J52" s="12">
        <f t="shared" si="8"/>
        <v>8.0512843719049102E-3</v>
      </c>
      <c r="K52" s="7">
        <v>50</v>
      </c>
      <c r="M52" s="95" t="s">
        <v>94</v>
      </c>
      <c r="N52" s="96"/>
      <c r="O52" s="26" t="s">
        <v>95</v>
      </c>
      <c r="P52" s="43">
        <f>-P50*P47</f>
        <v>-4156505.1301633078</v>
      </c>
      <c r="Q52" s="27" t="s">
        <v>96</v>
      </c>
      <c r="S52">
        <v>26</v>
      </c>
      <c r="T52">
        <v>42383327.294256814</v>
      </c>
      <c r="U52">
        <v>2517373.3657431826</v>
      </c>
      <c r="V52">
        <v>0.8863096598768575</v>
      </c>
      <c r="W52"/>
      <c r="X52">
        <v>49.03846153846154</v>
      </c>
      <c r="Y52">
        <v>42739597.670000002</v>
      </c>
      <c r="Z52"/>
      <c r="AA52"/>
    </row>
    <row r="53" spans="1:27" x14ac:dyDescent="0.2">
      <c r="A53" s="75">
        <v>44556</v>
      </c>
      <c r="B53" s="76">
        <v>33617884.390000001</v>
      </c>
      <c r="C53" s="59">
        <f t="shared" si="5"/>
        <v>35233825.84103176</v>
      </c>
      <c r="D53" s="59">
        <f t="shared" si="0"/>
        <v>-285980.05812900199</v>
      </c>
      <c r="E53" s="77">
        <f t="shared" si="1"/>
        <v>0.95413664532706222</v>
      </c>
      <c r="F53" s="54">
        <f t="shared" si="2"/>
        <v>33345020.336706351</v>
      </c>
      <c r="G53" s="59">
        <f t="shared" si="6"/>
        <v>272864.05329364911</v>
      </c>
      <c r="H53" s="59">
        <f t="shared" si="3"/>
        <v>272864.05329364911</v>
      </c>
      <c r="I53" s="59">
        <f t="shared" si="4"/>
        <v>74454791579.839386</v>
      </c>
      <c r="J53" s="12">
        <f t="shared" si="8"/>
        <v>8.1166336979496372E-3</v>
      </c>
      <c r="K53" s="7">
        <v>51</v>
      </c>
      <c r="M53" s="1"/>
      <c r="N53" s="1"/>
      <c r="O53" s="1"/>
      <c r="P53" s="1"/>
      <c r="Q53" s="1"/>
      <c r="S53">
        <v>27</v>
      </c>
      <c r="T53">
        <v>42097347.236127809</v>
      </c>
      <c r="U53">
        <v>2320803.393872194</v>
      </c>
      <c r="V53">
        <v>0.81710186286040443</v>
      </c>
      <c r="W53"/>
      <c r="X53">
        <v>50.96153846153846</v>
      </c>
      <c r="Y53">
        <v>42844698.719999999</v>
      </c>
      <c r="Z53"/>
      <c r="AA53"/>
    </row>
    <row r="54" spans="1:27" x14ac:dyDescent="0.2">
      <c r="A54" s="75">
        <v>44563</v>
      </c>
      <c r="B54" s="76">
        <v>44371658.039999999</v>
      </c>
      <c r="C54" s="59">
        <f t="shared" si="5"/>
        <v>34947845.782902762</v>
      </c>
      <c r="D54" s="59">
        <f t="shared" si="0"/>
        <v>-285980.05812900199</v>
      </c>
      <c r="E54" s="77">
        <f t="shared" si="1"/>
        <v>1.2696535951210923</v>
      </c>
      <c r="F54" s="54">
        <f>(C54+D54)*E54</f>
        <v>44008562.43106357</v>
      </c>
      <c r="G54" s="59">
        <f t="shared" si="6"/>
        <v>363095.60893642902</v>
      </c>
      <c r="H54" s="59">
        <f t="shared" si="3"/>
        <v>363095.60893642902</v>
      </c>
      <c r="I54" s="59">
        <f t="shared" si="4"/>
        <v>131838421228.9162</v>
      </c>
      <c r="J54" s="12">
        <f t="shared" si="8"/>
        <v>8.1830525379310137E-3</v>
      </c>
      <c r="K54" s="7">
        <v>52</v>
      </c>
      <c r="M54" s="1"/>
      <c r="N54" s="1"/>
      <c r="O54" s="1"/>
      <c r="P54" s="1"/>
      <c r="Q54" s="1"/>
      <c r="S54">
        <v>28</v>
      </c>
      <c r="T54">
        <v>41811367.177998811</v>
      </c>
      <c r="U54">
        <v>2456388.8620011881</v>
      </c>
      <c r="V54">
        <v>0.86483840912603016</v>
      </c>
      <c r="W54"/>
      <c r="X54">
        <v>52.884615384615387</v>
      </c>
      <c r="Y54">
        <v>43127603.630000003</v>
      </c>
      <c r="Z54"/>
      <c r="AA54"/>
    </row>
    <row r="55" spans="1:27" x14ac:dyDescent="0.2">
      <c r="A55" s="68">
        <v>44571</v>
      </c>
      <c r="B55" s="72">
        <v>42307851.270000003</v>
      </c>
      <c r="C55" s="69">
        <f>Alpha*(B54/E54)+(1-Alpha)*(C54+D54)</f>
        <v>34780775.980145544</v>
      </c>
      <c r="D55" s="69">
        <f t="shared" ref="D55:D86" si="9">Beta*(C55-C54)+(1-Beta)*D54</f>
        <v>-284813.54899857449</v>
      </c>
      <c r="E55" s="78">
        <f t="shared" ref="E55:E86" si="10">Gamma*(B3/C3)+(1-Gamma)*E3</f>
        <v>0.95978099196317068</v>
      </c>
      <c r="F55" s="79">
        <f t="shared" ref="F55:F118" si="11">(C55+D55)*E55</f>
        <v>33108569.040890511</v>
      </c>
      <c r="G55" s="69">
        <f>B55-F55</f>
        <v>9199282.2291094922</v>
      </c>
      <c r="H55" s="69">
        <f>ABS(G55)</f>
        <v>9199282.2291094922</v>
      </c>
      <c r="I55" s="69">
        <f>H55*H55</f>
        <v>84626793530809.703</v>
      </c>
      <c r="J55" s="70">
        <f t="shared" si="8"/>
        <v>0.21743676298759693</v>
      </c>
      <c r="K55" s="71">
        <v>53</v>
      </c>
      <c r="L55" s="12">
        <f>138-52</f>
        <v>86</v>
      </c>
      <c r="S55">
        <v>29</v>
      </c>
      <c r="T55">
        <v>41525387.119869806</v>
      </c>
      <c r="U55">
        <v>641788.05013019592</v>
      </c>
      <c r="V55">
        <v>0.22595891263670251</v>
      </c>
      <c r="W55"/>
      <c r="X55">
        <v>54.807692307692307</v>
      </c>
      <c r="Y55">
        <v>43128785.18</v>
      </c>
      <c r="Z55"/>
      <c r="AA55"/>
    </row>
    <row r="56" spans="1:27" x14ac:dyDescent="0.2">
      <c r="A56" s="68">
        <v>44577</v>
      </c>
      <c r="B56" s="72">
        <v>42172188.840000004</v>
      </c>
      <c r="C56" s="69">
        <f t="shared" ref="C56:C86" si="12">Alpha*(B55/E55)+(1-Alpha)*(C55+D55)</f>
        <v>38481302.264909849</v>
      </c>
      <c r="D56" s="69">
        <f t="shared" si="9"/>
        <v>-245717.38114151632</v>
      </c>
      <c r="E56" s="78">
        <f t="shared" si="10"/>
        <v>0.9968622869591599</v>
      </c>
      <c r="F56" s="79">
        <f t="shared" si="11"/>
        <v>38115612.590454385</v>
      </c>
      <c r="G56" s="69">
        <f t="shared" ref="G56:G119" si="13">B56-F56</f>
        <v>4056576.2495456189</v>
      </c>
      <c r="H56" s="69">
        <f t="shared" ref="H56:H119" si="14">ABS(G56)</f>
        <v>4056576.2495456189</v>
      </c>
      <c r="I56" s="69">
        <f t="shared" ref="I56:I119" si="15">H56*H56</f>
        <v>16455810868377.6</v>
      </c>
      <c r="J56" s="70">
        <f t="shared" si="8"/>
        <v>9.6190792110320514E-2</v>
      </c>
      <c r="K56" s="71">
        <v>54</v>
      </c>
      <c r="S56">
        <v>30</v>
      </c>
      <c r="T56">
        <v>41239407.061740808</v>
      </c>
      <c r="U56">
        <v>-338959.5017408058</v>
      </c>
      <c r="V56">
        <v>-0.1193398980016742</v>
      </c>
      <c r="W56"/>
      <c r="X56">
        <v>56.730769230769234</v>
      </c>
      <c r="Y56">
        <v>43304402.229999997</v>
      </c>
      <c r="Z56"/>
      <c r="AA56"/>
    </row>
    <row r="57" spans="1:27" x14ac:dyDescent="0.2">
      <c r="A57" s="68">
        <v>44584</v>
      </c>
      <c r="B57" s="72">
        <v>39929186.119999997</v>
      </c>
      <c r="C57" s="69">
        <f t="shared" si="12"/>
        <v>39927614.806786045</v>
      </c>
      <c r="D57" s="69">
        <f t="shared" si="9"/>
        <v>-229118.57435243344</v>
      </c>
      <c r="E57" s="78">
        <f t="shared" si="10"/>
        <v>0.9872388611825933</v>
      </c>
      <c r="F57" s="79">
        <f t="shared" si="11"/>
        <v>39191898.211169228</v>
      </c>
      <c r="G57" s="69">
        <f t="shared" si="13"/>
        <v>737287.90883076936</v>
      </c>
      <c r="H57" s="69">
        <f t="shared" si="14"/>
        <v>737287.90883076936</v>
      </c>
      <c r="I57" s="69">
        <f t="shared" si="15"/>
        <v>543593460508.04889</v>
      </c>
      <c r="J57" s="70">
        <f t="shared" si="8"/>
        <v>1.8464886978036141E-2</v>
      </c>
      <c r="K57" s="71">
        <v>55</v>
      </c>
      <c r="S57">
        <v>31</v>
      </c>
      <c r="T57">
        <v>40953427.003611803</v>
      </c>
      <c r="U57">
        <v>260067.55638819933</v>
      </c>
      <c r="V57">
        <v>9.1563846104084662E-2</v>
      </c>
      <c r="W57"/>
      <c r="X57">
        <v>58.653846153846153</v>
      </c>
      <c r="Y57">
        <v>43329269.590000004</v>
      </c>
      <c r="Z57"/>
      <c r="AA57"/>
    </row>
    <row r="58" spans="1:27" x14ac:dyDescent="0.2">
      <c r="A58" s="68">
        <v>44591</v>
      </c>
      <c r="B58" s="72">
        <v>42589422.060000002</v>
      </c>
      <c r="C58" s="69">
        <f t="shared" si="12"/>
        <v>40009022.562792018</v>
      </c>
      <c r="D58" s="69">
        <f t="shared" si="9"/>
        <v>-226072.31229144731</v>
      </c>
      <c r="E58" s="78">
        <f t="shared" si="10"/>
        <v>1.0114261228573733</v>
      </c>
      <c r="F58" s="79">
        <f t="shared" si="11"/>
        <v>40237515.127691559</v>
      </c>
      <c r="G58" s="69">
        <f t="shared" si="13"/>
        <v>2351906.9323084429</v>
      </c>
      <c r="H58" s="69">
        <f t="shared" si="14"/>
        <v>2351906.9323084429</v>
      </c>
      <c r="I58" s="69">
        <f t="shared" si="15"/>
        <v>5531466218240.5107</v>
      </c>
      <c r="J58" s="70">
        <f t="shared" si="8"/>
        <v>5.5222795204759416E-2</v>
      </c>
      <c r="K58" s="71">
        <v>56</v>
      </c>
      <c r="S58">
        <v>32</v>
      </c>
      <c r="T58">
        <v>40667446.945482805</v>
      </c>
      <c r="U58">
        <v>-111701.53548280895</v>
      </c>
      <c r="V58">
        <v>-3.9327559141098471E-2</v>
      </c>
      <c r="W58"/>
      <c r="X58">
        <v>60.57692307692308</v>
      </c>
      <c r="Y58">
        <v>43526965.090000004</v>
      </c>
      <c r="Z58"/>
      <c r="AA58"/>
    </row>
    <row r="59" spans="1:27" x14ac:dyDescent="0.2">
      <c r="A59" s="68">
        <v>44598</v>
      </c>
      <c r="B59" s="72">
        <v>42098793.100000001</v>
      </c>
      <c r="C59" s="69">
        <f t="shared" si="12"/>
        <v>40749823.46183522</v>
      </c>
      <c r="D59" s="69">
        <f t="shared" si="9"/>
        <v>-216587.28994866222</v>
      </c>
      <c r="E59" s="78">
        <f t="shared" si="10"/>
        <v>1.24711344463031</v>
      </c>
      <c r="F59" s="79">
        <f t="shared" si="11"/>
        <v>50549543.784335323</v>
      </c>
      <c r="G59" s="69">
        <f t="shared" si="13"/>
        <v>-8450750.6843353212</v>
      </c>
      <c r="H59" s="69">
        <f t="shared" si="14"/>
        <v>8450750.6843353212</v>
      </c>
      <c r="I59" s="69">
        <f t="shared" si="15"/>
        <v>71415187128793.906</v>
      </c>
      <c r="J59" s="70">
        <f t="shared" si="8"/>
        <v>-0.2007361746514135</v>
      </c>
      <c r="K59" s="71">
        <v>57</v>
      </c>
      <c r="S59">
        <v>33</v>
      </c>
      <c r="T59">
        <v>40381466.8873538</v>
      </c>
      <c r="U59">
        <v>-336144.13735380024</v>
      </c>
      <c r="V59">
        <v>-0.11834867250996424</v>
      </c>
      <c r="W59"/>
      <c r="X59">
        <v>62.5</v>
      </c>
      <c r="Y59">
        <v>43696048.43</v>
      </c>
      <c r="Z59"/>
      <c r="AA59"/>
    </row>
    <row r="60" spans="1:27" x14ac:dyDescent="0.2">
      <c r="A60" s="68">
        <v>44605</v>
      </c>
      <c r="B60" s="72">
        <v>54840041.460000001</v>
      </c>
      <c r="C60" s="69">
        <f t="shared" si="12"/>
        <v>37715678.010315754</v>
      </c>
      <c r="D60" s="69">
        <f t="shared" si="9"/>
        <v>-244227.52426408557</v>
      </c>
      <c r="E60" s="78">
        <f t="shared" si="10"/>
        <v>0.98674249723883034</v>
      </c>
      <c r="F60" s="79">
        <f t="shared" si="11"/>
        <v>36974672.627767809</v>
      </c>
      <c r="G60" s="69">
        <f t="shared" si="13"/>
        <v>17865368.832232192</v>
      </c>
      <c r="H60" s="69">
        <f t="shared" si="14"/>
        <v>17865368.832232192</v>
      </c>
      <c r="I60" s="69">
        <f t="shared" si="15"/>
        <v>319171403511693.44</v>
      </c>
      <c r="J60" s="70">
        <f t="shared" si="8"/>
        <v>0.32577234364899388</v>
      </c>
      <c r="K60" s="71">
        <v>58</v>
      </c>
      <c r="M60" s="58"/>
      <c r="N60" s="54"/>
      <c r="O60" s="54"/>
      <c r="P60" s="54"/>
      <c r="S60">
        <v>34</v>
      </c>
      <c r="T60">
        <v>40095486.829224795</v>
      </c>
      <c r="U60">
        <v>155254.16077520698</v>
      </c>
      <c r="V60">
        <v>5.4661443671275685E-2</v>
      </c>
      <c r="W60"/>
      <c r="X60">
        <v>64.42307692307692</v>
      </c>
      <c r="Y60">
        <v>43762590.869999997</v>
      </c>
      <c r="Z60"/>
      <c r="AA60"/>
    </row>
    <row r="61" spans="1:27" x14ac:dyDescent="0.2">
      <c r="A61" s="68">
        <v>44612</v>
      </c>
      <c r="B61" s="72">
        <v>43069701.609999999</v>
      </c>
      <c r="C61" s="69">
        <f t="shared" si="12"/>
        <v>44999660.316630259</v>
      </c>
      <c r="D61" s="69">
        <f t="shared" si="9"/>
        <v>-170375.81588378389</v>
      </c>
      <c r="E61" s="78">
        <f t="shared" si="10"/>
        <v>0.90193132506894635</v>
      </c>
      <c r="F61" s="79">
        <f t="shared" si="11"/>
        <v>40432935.971651047</v>
      </c>
      <c r="G61" s="69">
        <f t="shared" si="13"/>
        <v>2636765.6383489519</v>
      </c>
      <c r="H61" s="69">
        <f t="shared" si="14"/>
        <v>2636765.6383489519</v>
      </c>
      <c r="I61" s="69">
        <f t="shared" si="15"/>
        <v>6952533031577.7559</v>
      </c>
      <c r="J61" s="70">
        <f t="shared" si="8"/>
        <v>6.1220894034165842E-2</v>
      </c>
      <c r="K61" s="71">
        <v>59</v>
      </c>
      <c r="M61" s="58"/>
      <c r="N61" s="54"/>
      <c r="O61" s="54"/>
      <c r="P61" s="54"/>
      <c r="S61">
        <v>35</v>
      </c>
      <c r="T61">
        <v>39809506.771095797</v>
      </c>
      <c r="U61">
        <v>737906.97890420258</v>
      </c>
      <c r="V61">
        <v>0.25980019189575571</v>
      </c>
      <c r="W61"/>
      <c r="X61">
        <v>66.346153846153854</v>
      </c>
      <c r="Y61">
        <v>43862045.859999999</v>
      </c>
      <c r="Z61"/>
      <c r="AA61"/>
    </row>
    <row r="62" spans="1:27" x14ac:dyDescent="0.2">
      <c r="A62" s="68">
        <v>44619</v>
      </c>
      <c r="B62" s="72">
        <v>40511720.759999998</v>
      </c>
      <c r="C62" s="69">
        <f t="shared" si="12"/>
        <v>46044859.113941863</v>
      </c>
      <c r="D62" s="69">
        <f t="shared" si="9"/>
        <v>-158451.03378172813</v>
      </c>
      <c r="E62" s="78">
        <f t="shared" si="10"/>
        <v>1.0315961538729903</v>
      </c>
      <c r="F62" s="79">
        <f t="shared" si="11"/>
        <v>47336242.090539701</v>
      </c>
      <c r="G62" s="69">
        <f t="shared" si="13"/>
        <v>-6824521.3305397034</v>
      </c>
      <c r="H62" s="69">
        <f t="shared" si="14"/>
        <v>6824521.3305397034</v>
      </c>
      <c r="I62" s="69">
        <f t="shared" si="15"/>
        <v>46574091390991.406</v>
      </c>
      <c r="J62" s="70">
        <f t="shared" si="8"/>
        <v>-0.16845794753991347</v>
      </c>
      <c r="K62" s="71">
        <v>60</v>
      </c>
      <c r="M62" s="58"/>
      <c r="N62" s="54"/>
      <c r="O62" s="54"/>
      <c r="P62" s="54"/>
      <c r="S62">
        <v>36</v>
      </c>
      <c r="T62">
        <v>39523526.712966792</v>
      </c>
      <c r="U62">
        <v>-1779092.7529667914</v>
      </c>
      <c r="V62">
        <v>-0.62637792002930237</v>
      </c>
      <c r="W62"/>
      <c r="X62">
        <v>68.269230769230774</v>
      </c>
      <c r="Y62">
        <v>44267756.039999999</v>
      </c>
      <c r="Z62"/>
      <c r="AA62"/>
    </row>
    <row r="63" spans="1:27" x14ac:dyDescent="0.2">
      <c r="A63" s="68">
        <v>44626</v>
      </c>
      <c r="B63" s="72">
        <v>37741843.770000003</v>
      </c>
      <c r="C63" s="69">
        <f t="shared" si="12"/>
        <v>43135690.247506633</v>
      </c>
      <c r="D63" s="69">
        <f t="shared" si="9"/>
        <v>-185435.56473734428</v>
      </c>
      <c r="E63" s="78">
        <f t="shared" si="10"/>
        <v>0.99680127209374336</v>
      </c>
      <c r="F63" s="79">
        <f t="shared" si="11"/>
        <v>42812868.504534684</v>
      </c>
      <c r="G63" s="69">
        <f t="shared" si="13"/>
        <v>-5071024.7345346808</v>
      </c>
      <c r="H63" s="69">
        <f t="shared" si="14"/>
        <v>5071024.7345346808</v>
      </c>
      <c r="I63" s="69">
        <f t="shared" si="15"/>
        <v>25715291858262.531</v>
      </c>
      <c r="J63" s="70">
        <f t="shared" si="8"/>
        <v>-0.13436081091951063</v>
      </c>
      <c r="K63" s="71">
        <v>61</v>
      </c>
      <c r="M63" s="58"/>
      <c r="N63" s="54"/>
      <c r="O63" s="54"/>
      <c r="P63" s="54"/>
      <c r="S63">
        <v>37</v>
      </c>
      <c r="T63">
        <v>39237546.654837795</v>
      </c>
      <c r="U63">
        <v>-2283965.2248377949</v>
      </c>
      <c r="V63">
        <v>-0.80413198500610161</v>
      </c>
      <c r="W63"/>
      <c r="X63">
        <v>70.192307692307693</v>
      </c>
      <c r="Y63">
        <v>44371658.039999999</v>
      </c>
      <c r="Z63"/>
      <c r="AA63"/>
    </row>
    <row r="64" spans="1:27" x14ac:dyDescent="0.2">
      <c r="A64" s="68">
        <v>44633</v>
      </c>
      <c r="B64" s="72">
        <v>38789287.439999998</v>
      </c>
      <c r="C64" s="69">
        <f t="shared" si="12"/>
        <v>40834960.831319183</v>
      </c>
      <c r="D64" s="69">
        <f t="shared" si="9"/>
        <v>-206186.58897439481</v>
      </c>
      <c r="E64" s="78">
        <f t="shared" si="10"/>
        <v>0.99626064900088962</v>
      </c>
      <c r="F64" s="79">
        <f t="shared" si="11"/>
        <v>40476848.994789049</v>
      </c>
      <c r="G64" s="69">
        <f t="shared" si="13"/>
        <v>-1687561.5547890514</v>
      </c>
      <c r="H64" s="69">
        <f t="shared" si="14"/>
        <v>1687561.5547890514</v>
      </c>
      <c r="I64" s="69">
        <f t="shared" si="15"/>
        <v>2847864001202.0405</v>
      </c>
      <c r="J64" s="70">
        <f t="shared" si="8"/>
        <v>-4.3505866340014715E-2</v>
      </c>
      <c r="K64" s="71">
        <v>62</v>
      </c>
      <c r="M64" s="10"/>
      <c r="S64">
        <v>38</v>
      </c>
      <c r="T64">
        <v>38951566.596708789</v>
      </c>
      <c r="U64">
        <v>-1907559.0167087913</v>
      </c>
      <c r="V64">
        <v>-0.67160795704814891</v>
      </c>
      <c r="W64"/>
      <c r="X64">
        <v>72.115384615384627</v>
      </c>
      <c r="Y64">
        <v>44418150.630000003</v>
      </c>
      <c r="Z64"/>
      <c r="AA64"/>
    </row>
    <row r="65" spans="1:27" x14ac:dyDescent="0.2">
      <c r="A65" s="68">
        <v>44640</v>
      </c>
      <c r="B65" s="72">
        <v>37612473.079999998</v>
      </c>
      <c r="C65" s="69">
        <f t="shared" si="12"/>
        <v>39924453.938789241</v>
      </c>
      <c r="D65" s="69">
        <f t="shared" si="9"/>
        <v>-213095.96834015459</v>
      </c>
      <c r="E65" s="78">
        <f t="shared" si="10"/>
        <v>0.97495496623811162</v>
      </c>
      <c r="F65" s="79">
        <f t="shared" si="11"/>
        <v>38716785.669348754</v>
      </c>
      <c r="G65" s="69">
        <f t="shared" si="13"/>
        <v>-1104312.5893487558</v>
      </c>
      <c r="H65" s="69">
        <f t="shared" si="14"/>
        <v>1104312.5893487558</v>
      </c>
      <c r="I65" s="69">
        <f t="shared" si="15"/>
        <v>1219506294994.1538</v>
      </c>
      <c r="J65" s="70">
        <f t="shared" si="8"/>
        <v>-2.9360275964835755E-2</v>
      </c>
      <c r="K65" s="71">
        <v>63</v>
      </c>
      <c r="M65" s="10"/>
      <c r="S65">
        <v>39</v>
      </c>
      <c r="T65">
        <v>38665586.538579784</v>
      </c>
      <c r="U65">
        <v>-1162121.4385797828</v>
      </c>
      <c r="V65">
        <v>-0.40915641318036022</v>
      </c>
      <c r="W65"/>
      <c r="X65">
        <v>74.038461538461547</v>
      </c>
      <c r="Y65">
        <v>44900700.659999996</v>
      </c>
      <c r="Z65"/>
      <c r="AA65"/>
    </row>
    <row r="66" spans="1:27" x14ac:dyDescent="0.2">
      <c r="A66" s="68">
        <v>44647</v>
      </c>
      <c r="B66" s="72">
        <v>38884367.649999999</v>
      </c>
      <c r="C66" s="69">
        <f t="shared" si="12"/>
        <v>39240390.37258973</v>
      </c>
      <c r="D66" s="69">
        <f t="shared" si="9"/>
        <v>-217716.15859473561</v>
      </c>
      <c r="E66" s="78">
        <f t="shared" si="10"/>
        <v>0.98123996129187652</v>
      </c>
      <c r="F66" s="79">
        <f t="shared" si="11"/>
        <v>38290607.335245959</v>
      </c>
      <c r="G66" s="69">
        <f t="shared" si="13"/>
        <v>593760.31475403905</v>
      </c>
      <c r="H66" s="69">
        <f t="shared" si="14"/>
        <v>593760.31475403905</v>
      </c>
      <c r="I66" s="69">
        <f t="shared" si="15"/>
        <v>352551311376.81555</v>
      </c>
      <c r="J66" s="70">
        <f t="shared" si="8"/>
        <v>1.5269897664236263E-2</v>
      </c>
      <c r="K66" s="71">
        <v>64</v>
      </c>
      <c r="M66" s="10"/>
      <c r="S66">
        <v>40</v>
      </c>
      <c r="T66">
        <v>38379606.480450787</v>
      </c>
      <c r="U66">
        <v>-834187.80045078695</v>
      </c>
      <c r="V66">
        <v>-0.29369846990205573</v>
      </c>
      <c r="W66"/>
      <c r="X66">
        <v>75.961538461538467</v>
      </c>
      <c r="Y66">
        <v>45504100.600000001</v>
      </c>
      <c r="Z66"/>
      <c r="AA66"/>
    </row>
    <row r="67" spans="1:27" x14ac:dyDescent="0.2">
      <c r="A67" s="68">
        <v>44654</v>
      </c>
      <c r="B67" s="72">
        <v>39780834.5</v>
      </c>
      <c r="C67" s="69">
        <f t="shared" si="12"/>
        <v>39274279.350094855</v>
      </c>
      <c r="D67" s="69">
        <f t="shared" si="9"/>
        <v>-215247.91321417279</v>
      </c>
      <c r="E67" s="78">
        <f t="shared" si="10"/>
        <v>0.92936455774936189</v>
      </c>
      <c r="F67" s="79">
        <f t="shared" si="11"/>
        <v>36300079.477455042</v>
      </c>
      <c r="G67" s="69">
        <f t="shared" si="13"/>
        <v>3480755.0225449577</v>
      </c>
      <c r="H67" s="69">
        <f t="shared" si="14"/>
        <v>3480755.0225449577</v>
      </c>
      <c r="I67" s="69">
        <f t="shared" si="15"/>
        <v>12115655526971.949</v>
      </c>
      <c r="J67" s="70">
        <f t="shared" si="8"/>
        <v>8.7498290729546097E-2</v>
      </c>
      <c r="K67" s="71">
        <v>65</v>
      </c>
      <c r="M67" s="10"/>
      <c r="S67">
        <v>41</v>
      </c>
      <c r="T67">
        <v>38093626.422321782</v>
      </c>
      <c r="U67">
        <v>-886926.2323217839</v>
      </c>
      <c r="V67">
        <v>-0.31226646710505418</v>
      </c>
      <c r="W67"/>
      <c r="X67">
        <v>77.884615384615387</v>
      </c>
      <c r="Y67">
        <v>45516825.289999999</v>
      </c>
      <c r="Z67"/>
      <c r="AA67"/>
    </row>
    <row r="68" spans="1:27" x14ac:dyDescent="0.2">
      <c r="A68" s="68">
        <v>44661</v>
      </c>
      <c r="B68" s="72">
        <v>41480613.840000004</v>
      </c>
      <c r="C68" s="69">
        <f t="shared" si="12"/>
        <v>40616326.525678158</v>
      </c>
      <c r="D68" s="69">
        <f t="shared" si="9"/>
        <v>-199970.8546108384</v>
      </c>
      <c r="E68" s="78">
        <f t="shared" si="10"/>
        <v>0.92126256720384114</v>
      </c>
      <c r="F68" s="79">
        <f t="shared" si="11"/>
        <v>37234075.582551003</v>
      </c>
      <c r="G68" s="69">
        <f t="shared" si="13"/>
        <v>4246538.2574490011</v>
      </c>
      <c r="H68" s="69">
        <f t="shared" si="14"/>
        <v>4246538.2574490011</v>
      </c>
      <c r="I68" s="69">
        <f t="shared" si="15"/>
        <v>18033087171978</v>
      </c>
      <c r="J68" s="70">
        <f t="shared" ref="J68:J131" si="16">(B68-F68)/B68</f>
        <v>0.10237404571274784</v>
      </c>
      <c r="K68" s="71">
        <v>66</v>
      </c>
      <c r="M68" s="10"/>
      <c r="S68">
        <v>42</v>
      </c>
      <c r="T68">
        <v>37807646.364192784</v>
      </c>
      <c r="U68">
        <v>-831706.38419278711</v>
      </c>
      <c r="V68">
        <v>-0.29282481991847792</v>
      </c>
      <c r="W68"/>
      <c r="X68">
        <v>79.807692307692321</v>
      </c>
      <c r="Y68">
        <v>46390888.079999998</v>
      </c>
      <c r="Z68"/>
      <c r="AA68"/>
    </row>
    <row r="69" spans="1:27" x14ac:dyDescent="0.2">
      <c r="A69" s="68">
        <v>44668</v>
      </c>
      <c r="B69" s="72">
        <v>38444782.18</v>
      </c>
      <c r="C69" s="69">
        <f t="shared" si="12"/>
        <v>42332971.971876264</v>
      </c>
      <c r="D69" s="69">
        <f t="shared" si="9"/>
        <v>-181168.85635232335</v>
      </c>
      <c r="E69" s="78">
        <f t="shared" si="10"/>
        <v>0.95602499292117837</v>
      </c>
      <c r="F69" s="79">
        <f t="shared" si="11"/>
        <v>40298177.275133684</v>
      </c>
      <c r="G69" s="69">
        <f t="shared" si="13"/>
        <v>-1853395.0951336846</v>
      </c>
      <c r="H69" s="69">
        <f t="shared" si="14"/>
        <v>1853395.0951336846</v>
      </c>
      <c r="I69" s="69">
        <f t="shared" si="15"/>
        <v>3435073378665.5996</v>
      </c>
      <c r="J69" s="70">
        <f t="shared" si="16"/>
        <v>-4.8209275486489039E-2</v>
      </c>
      <c r="K69" s="71">
        <v>67</v>
      </c>
      <c r="M69" s="10"/>
      <c r="S69">
        <v>43</v>
      </c>
      <c r="T69">
        <v>37521666.306063779</v>
      </c>
      <c r="U69">
        <v>-425933.78606377542</v>
      </c>
      <c r="V69">
        <v>-0.14996155683278956</v>
      </c>
      <c r="W69"/>
      <c r="X69">
        <v>81.730769230769241</v>
      </c>
      <c r="Y69">
        <v>46783412.009999998</v>
      </c>
      <c r="Z69"/>
      <c r="AA69"/>
    </row>
    <row r="70" spans="1:27" x14ac:dyDescent="0.2">
      <c r="A70" s="68">
        <v>44675</v>
      </c>
      <c r="B70" s="72">
        <v>36545752.170000002</v>
      </c>
      <c r="C70" s="69">
        <f t="shared" si="12"/>
        <v>41345715.358494513</v>
      </c>
      <c r="D70" s="69">
        <f t="shared" si="9"/>
        <v>-189076.57403033783</v>
      </c>
      <c r="E70" s="78">
        <f t="shared" si="10"/>
        <v>0.95326709724042746</v>
      </c>
      <c r="F70" s="79">
        <f t="shared" si="11"/>
        <v>39233269.586238958</v>
      </c>
      <c r="G70" s="69">
        <f t="shared" si="13"/>
        <v>-2687517.4162389562</v>
      </c>
      <c r="H70" s="69">
        <f t="shared" si="14"/>
        <v>2687517.4162389562</v>
      </c>
      <c r="I70" s="69">
        <f t="shared" si="15"/>
        <v>7222749862587.7148</v>
      </c>
      <c r="J70" s="70">
        <f t="shared" si="16"/>
        <v>-7.3538434883961945E-2</v>
      </c>
      <c r="K70" s="71">
        <v>68</v>
      </c>
      <c r="M70" s="10"/>
      <c r="S70">
        <v>44</v>
      </c>
      <c r="T70">
        <v>37235686.247934781</v>
      </c>
      <c r="U70">
        <v>1133685.2420652211</v>
      </c>
      <c r="V70">
        <v>0.39914467793123787</v>
      </c>
      <c r="W70"/>
      <c r="X70">
        <v>83.65384615384616</v>
      </c>
      <c r="Y70">
        <v>47093864.420000002</v>
      </c>
      <c r="Z70"/>
      <c r="AA70"/>
    </row>
    <row r="71" spans="1:27" x14ac:dyDescent="0.2">
      <c r="A71" s="68">
        <v>44682</v>
      </c>
      <c r="B71" s="72">
        <v>45249228.329999998</v>
      </c>
      <c r="C71" s="69">
        <f t="shared" si="12"/>
        <v>39984388.772670075</v>
      </c>
      <c r="D71" s="69">
        <f t="shared" si="9"/>
        <v>-200576.34196562789</v>
      </c>
      <c r="E71" s="78">
        <f t="shared" si="10"/>
        <v>1.1187055687842051</v>
      </c>
      <c r="F71" s="79">
        <f t="shared" si="11"/>
        <v>44506372.513695344</v>
      </c>
      <c r="G71" s="69">
        <f t="shared" si="13"/>
        <v>742855.81630465388</v>
      </c>
      <c r="H71" s="69">
        <f t="shared" si="14"/>
        <v>742855.81630465388</v>
      </c>
      <c r="I71" s="69">
        <f t="shared" si="15"/>
        <v>551834763817.65369</v>
      </c>
      <c r="J71" s="70">
        <f t="shared" si="16"/>
        <v>1.6416983089458444E-2</v>
      </c>
      <c r="K71" s="71">
        <v>69</v>
      </c>
      <c r="S71">
        <v>45</v>
      </c>
      <c r="T71">
        <v>36949706.189805776</v>
      </c>
      <c r="U71">
        <v>236758.59019422531</v>
      </c>
      <c r="V71">
        <v>8.3357291533915329E-2</v>
      </c>
      <c r="W71"/>
      <c r="X71">
        <v>85.57692307692308</v>
      </c>
      <c r="Y71">
        <v>47465203.75</v>
      </c>
      <c r="Z71"/>
      <c r="AA71"/>
    </row>
    <row r="72" spans="1:27" x14ac:dyDescent="0.2">
      <c r="A72" s="68">
        <v>44689</v>
      </c>
      <c r="B72" s="72">
        <v>41827169.350000001</v>
      </c>
      <c r="C72" s="69">
        <f t="shared" si="12"/>
        <v>40059916.170933165</v>
      </c>
      <c r="D72" s="69">
        <f t="shared" si="9"/>
        <v>-197867.7653763759</v>
      </c>
      <c r="E72" s="78">
        <f t="shared" si="10"/>
        <v>1.0384973218067166</v>
      </c>
      <c r="F72" s="79">
        <f t="shared" si="11"/>
        <v>41396630.510900423</v>
      </c>
      <c r="G72" s="69">
        <f t="shared" si="13"/>
        <v>430538.83909957856</v>
      </c>
      <c r="H72" s="69">
        <f t="shared" si="14"/>
        <v>430538.83909957856</v>
      </c>
      <c r="I72" s="69">
        <f t="shared" si="15"/>
        <v>185363691973.2128</v>
      </c>
      <c r="J72" s="70">
        <f t="shared" si="16"/>
        <v>1.0293281754185419E-2</v>
      </c>
      <c r="K72" s="71">
        <v>70</v>
      </c>
      <c r="S72">
        <v>46</v>
      </c>
      <c r="T72">
        <v>36663726.131676771</v>
      </c>
      <c r="U72">
        <v>-2464914.401676774</v>
      </c>
      <c r="V72">
        <v>-0.86784005690421118</v>
      </c>
      <c r="W72"/>
      <c r="X72">
        <v>87.500000000000014</v>
      </c>
      <c r="Y72">
        <v>47540667.509999998</v>
      </c>
      <c r="Z72"/>
      <c r="AA72"/>
    </row>
    <row r="73" spans="1:27" x14ac:dyDescent="0.2">
      <c r="A73" s="68">
        <v>44696</v>
      </c>
      <c r="B73" s="72">
        <v>36518136.200000003</v>
      </c>
      <c r="C73" s="69">
        <f t="shared" si="12"/>
        <v>40034429.850317806</v>
      </c>
      <c r="D73" s="69">
        <f t="shared" si="9"/>
        <v>-196176.70409153291</v>
      </c>
      <c r="E73" s="78">
        <f t="shared" si="10"/>
        <v>0.9629247927880944</v>
      </c>
      <c r="F73" s="79">
        <f t="shared" si="11"/>
        <v>38361241.655869581</v>
      </c>
      <c r="G73" s="69">
        <f t="shared" si="13"/>
        <v>-1843105.4558695778</v>
      </c>
      <c r="H73" s="69">
        <f t="shared" si="14"/>
        <v>1843105.4558695778</v>
      </c>
      <c r="I73" s="69">
        <f t="shared" si="15"/>
        <v>3397037721456.2041</v>
      </c>
      <c r="J73" s="70">
        <f t="shared" si="16"/>
        <v>-5.0470961764734798E-2</v>
      </c>
      <c r="K73" s="71">
        <v>71</v>
      </c>
      <c r="S73">
        <v>47</v>
      </c>
      <c r="T73">
        <v>36377746.073547773</v>
      </c>
      <c r="U73">
        <v>-5295138.0935477726</v>
      </c>
      <c r="V73">
        <v>-1.8642971704389208</v>
      </c>
      <c r="W73"/>
      <c r="X73">
        <v>89.423076923076934</v>
      </c>
      <c r="Y73">
        <v>48336072.189999998</v>
      </c>
      <c r="Z73"/>
      <c r="AA73"/>
    </row>
    <row r="74" spans="1:27" x14ac:dyDescent="0.2">
      <c r="A74" s="68">
        <v>44703</v>
      </c>
      <c r="B74" s="72">
        <v>35674050.590000004</v>
      </c>
      <c r="C74" s="69">
        <f t="shared" si="12"/>
        <v>39042384.533186734</v>
      </c>
      <c r="D74" s="69">
        <f t="shared" si="9"/>
        <v>-203984.17200780829</v>
      </c>
      <c r="E74" s="78">
        <f t="shared" si="10"/>
        <v>0.982540773538082</v>
      </c>
      <c r="F74" s="79">
        <f t="shared" si="11"/>
        <v>38160311.933854468</v>
      </c>
      <c r="G74" s="69">
        <f t="shared" si="13"/>
        <v>-2486261.3438544646</v>
      </c>
      <c r="H74" s="69">
        <f t="shared" si="14"/>
        <v>2486261.3438544646</v>
      </c>
      <c r="I74" s="69">
        <f t="shared" si="15"/>
        <v>6181495469945.0078</v>
      </c>
      <c r="J74" s="70">
        <f t="shared" si="16"/>
        <v>-6.9693833549459697E-2</v>
      </c>
      <c r="K74" s="71">
        <v>72</v>
      </c>
      <c r="S74">
        <v>48</v>
      </c>
      <c r="T74">
        <v>36091766.015418768</v>
      </c>
      <c r="U74">
        <v>2098380.944581233</v>
      </c>
      <c r="V74">
        <v>0.73879199907035409</v>
      </c>
      <c r="W74"/>
      <c r="X74">
        <v>91.346153846153854</v>
      </c>
      <c r="Y74">
        <v>49032764.130000003</v>
      </c>
      <c r="Z74"/>
      <c r="AA74"/>
    </row>
    <row r="75" spans="1:27" x14ac:dyDescent="0.2">
      <c r="A75" s="68">
        <v>44710</v>
      </c>
      <c r="B75" s="72">
        <v>36469776.170000002</v>
      </c>
      <c r="C75" s="69">
        <f t="shared" si="12"/>
        <v>37786245.278324105</v>
      </c>
      <c r="D75" s="69">
        <f t="shared" si="9"/>
        <v>-214305.80916970369</v>
      </c>
      <c r="E75" s="78">
        <f t="shared" si="10"/>
        <v>1.0011142359919405</v>
      </c>
      <c r="F75" s="79">
        <f t="shared" si="11"/>
        <v>37613803.476397946</v>
      </c>
      <c r="G75" s="69">
        <f t="shared" si="13"/>
        <v>-1144027.3063979447</v>
      </c>
      <c r="H75" s="69">
        <f t="shared" si="14"/>
        <v>1144027.3063979447</v>
      </c>
      <c r="I75" s="69">
        <f t="shared" si="15"/>
        <v>1308798477784.1367</v>
      </c>
      <c r="J75" s="70">
        <f t="shared" si="16"/>
        <v>-3.1369189135276906E-2</v>
      </c>
      <c r="K75" s="71">
        <v>73</v>
      </c>
      <c r="S75">
        <v>49</v>
      </c>
      <c r="T75">
        <v>35805785.95728977</v>
      </c>
      <c r="U75">
        <v>1380223.812710233</v>
      </c>
      <c r="V75">
        <v>0.48594527718616742</v>
      </c>
      <c r="W75"/>
      <c r="X75">
        <v>93.269230769230774</v>
      </c>
      <c r="Y75">
        <v>49092326.210000001</v>
      </c>
      <c r="Z75"/>
      <c r="AA75"/>
    </row>
    <row r="76" spans="1:27" x14ac:dyDescent="0.2">
      <c r="A76" s="68">
        <v>44717</v>
      </c>
      <c r="B76" s="72">
        <v>38573928.090000004</v>
      </c>
      <c r="C76" s="69">
        <f t="shared" si="12"/>
        <v>37096783.362477668</v>
      </c>
      <c r="D76" s="69">
        <f t="shared" si="9"/>
        <v>-218967.08867905985</v>
      </c>
      <c r="E76" s="78">
        <f t="shared" si="10"/>
        <v>1.0054068050841585</v>
      </c>
      <c r="F76" s="79">
        <f t="shared" si="11"/>
        <v>37077207.438320443</v>
      </c>
      <c r="G76" s="69">
        <f t="shared" si="13"/>
        <v>1496720.6516795605</v>
      </c>
      <c r="H76" s="69">
        <f t="shared" si="14"/>
        <v>1496720.6516795605</v>
      </c>
      <c r="I76" s="69">
        <f t="shared" si="15"/>
        <v>2240172709164.0884</v>
      </c>
      <c r="J76" s="70">
        <f t="shared" si="16"/>
        <v>3.8801354328950856E-2</v>
      </c>
      <c r="K76" s="71">
        <v>74</v>
      </c>
      <c r="S76">
        <v>50</v>
      </c>
      <c r="T76">
        <v>35519805.899160765</v>
      </c>
      <c r="U76">
        <v>-1223335.3691607639</v>
      </c>
      <c r="V76">
        <v>-0.43070843988059415</v>
      </c>
      <c r="W76"/>
      <c r="X76">
        <v>95.192307692307693</v>
      </c>
      <c r="Y76">
        <v>49231053.829999998</v>
      </c>
      <c r="Z76"/>
      <c r="AA76"/>
    </row>
    <row r="77" spans="1:27" x14ac:dyDescent="0.2">
      <c r="A77" s="68">
        <v>44724</v>
      </c>
      <c r="B77" s="72">
        <v>37638612.119999997</v>
      </c>
      <c r="C77" s="69">
        <f t="shared" si="12"/>
        <v>37496804.648218535</v>
      </c>
      <c r="D77" s="69">
        <f t="shared" si="9"/>
        <v>-212894.81519741804</v>
      </c>
      <c r="E77" s="78">
        <f t="shared" si="10"/>
        <v>1.0014600580661044</v>
      </c>
      <c r="F77" s="79">
        <f t="shared" si="11"/>
        <v>37338346.506308727</v>
      </c>
      <c r="G77" s="69">
        <f t="shared" si="13"/>
        <v>300265.61369127035</v>
      </c>
      <c r="H77" s="69">
        <f t="shared" si="14"/>
        <v>300265.61369127035</v>
      </c>
      <c r="I77" s="69">
        <f t="shared" si="15"/>
        <v>90159438765.395203</v>
      </c>
      <c r="J77" s="70">
        <f t="shared" si="16"/>
        <v>7.9775952613225735E-3</v>
      </c>
      <c r="K77" s="71">
        <v>75</v>
      </c>
      <c r="S77">
        <v>51</v>
      </c>
      <c r="T77">
        <v>35233825.841031767</v>
      </c>
      <c r="U77">
        <v>-1615941.4510317668</v>
      </c>
      <c r="V77">
        <v>-0.56893607334327911</v>
      </c>
      <c r="W77"/>
      <c r="X77">
        <v>97.115384615384627</v>
      </c>
      <c r="Y77">
        <v>50293811.619999997</v>
      </c>
      <c r="Z77"/>
      <c r="AA77"/>
    </row>
    <row r="78" spans="1:27" ht="16" thickBot="1" x14ac:dyDescent="0.25">
      <c r="A78" s="68">
        <v>44731</v>
      </c>
      <c r="B78" s="72">
        <v>37450282.520000003</v>
      </c>
      <c r="C78" s="69">
        <f t="shared" si="12"/>
        <v>37408577.98702383</v>
      </c>
      <c r="D78" s="69">
        <f t="shared" si="9"/>
        <v>-211671.82110441048</v>
      </c>
      <c r="E78" s="78">
        <f t="shared" si="10"/>
        <v>1.0172449322106936</v>
      </c>
      <c r="F78" s="79">
        <f t="shared" si="11"/>
        <v>37838364.291198231</v>
      </c>
      <c r="G78" s="69">
        <f t="shared" si="13"/>
        <v>-388081.771198228</v>
      </c>
      <c r="H78" s="69">
        <f t="shared" si="14"/>
        <v>388081.771198228</v>
      </c>
      <c r="I78" s="69">
        <f t="shared" si="15"/>
        <v>150607461136.35379</v>
      </c>
      <c r="J78" s="70">
        <f t="shared" si="16"/>
        <v>-1.0362585942869089E-2</v>
      </c>
      <c r="K78" s="71">
        <v>76</v>
      </c>
      <c r="S78" s="65">
        <v>52</v>
      </c>
      <c r="T78" s="65">
        <v>34947845.782902762</v>
      </c>
      <c r="U78" s="65">
        <v>9423812.2570972368</v>
      </c>
      <c r="V78" s="65">
        <v>3.317909035660827</v>
      </c>
      <c r="W78"/>
      <c r="X78" s="65">
        <v>99.038461538461547</v>
      </c>
      <c r="Y78" s="65">
        <v>60346458.380000003</v>
      </c>
      <c r="Z78"/>
      <c r="AA78"/>
    </row>
    <row r="79" spans="1:27" x14ac:dyDescent="0.2">
      <c r="A79" s="68">
        <v>44738</v>
      </c>
      <c r="B79" s="72">
        <v>35562856.030000001</v>
      </c>
      <c r="C79" s="69">
        <f t="shared" si="12"/>
        <v>37038277.646571316</v>
      </c>
      <c r="D79" s="69">
        <f t="shared" si="9"/>
        <v>-213227.9662458637</v>
      </c>
      <c r="E79" s="78">
        <f t="shared" si="10"/>
        <v>0.99614235447914723</v>
      </c>
      <c r="F79" s="79">
        <f t="shared" si="11"/>
        <v>36682991.692370959</v>
      </c>
      <c r="G79" s="69">
        <f t="shared" si="13"/>
        <v>-1120135.6623709574</v>
      </c>
      <c r="H79" s="69">
        <f t="shared" si="14"/>
        <v>1120135.6623709574</v>
      </c>
      <c r="I79" s="69">
        <f t="shared" si="15"/>
        <v>1254703902115.2236</v>
      </c>
      <c r="J79" s="70">
        <f t="shared" si="16"/>
        <v>-3.1497348284570757E-2</v>
      </c>
      <c r="K79" s="71">
        <v>77</v>
      </c>
    </row>
    <row r="80" spans="1:27" x14ac:dyDescent="0.2">
      <c r="A80" s="68">
        <v>44745</v>
      </c>
      <c r="B80" s="72">
        <v>36727387.560000002</v>
      </c>
      <c r="C80" s="69">
        <f t="shared" si="12"/>
        <v>36357494.600319609</v>
      </c>
      <c r="D80" s="69">
        <f t="shared" si="9"/>
        <v>-217814.67971392683</v>
      </c>
      <c r="E80" s="78">
        <f t="shared" si="10"/>
        <v>1.0593953690390019</v>
      </c>
      <c r="F80" s="79">
        <f t="shared" si="11"/>
        <v>38286209.546441466</v>
      </c>
      <c r="G80" s="69">
        <f t="shared" si="13"/>
        <v>-1558821.9864414632</v>
      </c>
      <c r="H80" s="69">
        <f t="shared" si="14"/>
        <v>1558821.9864414632</v>
      </c>
      <c r="I80" s="69">
        <f t="shared" si="15"/>
        <v>2429925985413.3096</v>
      </c>
      <c r="J80" s="70">
        <f t="shared" si="16"/>
        <v>-4.2443040194320401E-2</v>
      </c>
      <c r="K80" s="71">
        <v>78</v>
      </c>
    </row>
    <row r="81" spans="1:11" x14ac:dyDescent="0.2">
      <c r="A81" s="68">
        <v>44752</v>
      </c>
      <c r="B81" s="72">
        <v>36856080.299999997</v>
      </c>
      <c r="C81" s="69">
        <f t="shared" si="12"/>
        <v>35527862.252763778</v>
      </c>
      <c r="D81" s="69">
        <f t="shared" si="9"/>
        <v>-223816.60859266849</v>
      </c>
      <c r="E81" s="78">
        <f t="shared" si="10"/>
        <v>1.0551294451133606</v>
      </c>
      <c r="F81" s="79">
        <f t="shared" si="11"/>
        <v>37250338.090791017</v>
      </c>
      <c r="G81" s="69">
        <f t="shared" si="13"/>
        <v>-394257.7907910198</v>
      </c>
      <c r="H81" s="69">
        <f t="shared" si="14"/>
        <v>394257.7907910198</v>
      </c>
      <c r="I81" s="69">
        <f t="shared" si="15"/>
        <v>155439205599.41553</v>
      </c>
      <c r="J81" s="70">
        <f t="shared" si="16"/>
        <v>-1.0697225195458992E-2</v>
      </c>
      <c r="K81" s="71">
        <v>79</v>
      </c>
    </row>
    <row r="82" spans="1:11" x14ac:dyDescent="0.2">
      <c r="A82" s="68">
        <v>44759</v>
      </c>
      <c r="B82" s="72">
        <v>38738535.25</v>
      </c>
      <c r="C82" s="69">
        <f t="shared" si="12"/>
        <v>35148678.886416957</v>
      </c>
      <c r="D82" s="69">
        <f t="shared" si="9"/>
        <v>-225340.7558659082</v>
      </c>
      <c r="E82" s="78">
        <f t="shared" si="10"/>
        <v>1.0587493073724157</v>
      </c>
      <c r="F82" s="79">
        <f t="shared" si="11"/>
        <v>36975060.056853592</v>
      </c>
      <c r="G82" s="69">
        <f t="shared" si="13"/>
        <v>1763475.1931464076</v>
      </c>
      <c r="H82" s="69">
        <f t="shared" si="14"/>
        <v>1763475.1931464076</v>
      </c>
      <c r="I82" s="69">
        <f t="shared" si="15"/>
        <v>3109844756842.7598</v>
      </c>
      <c r="J82" s="70">
        <f t="shared" si="16"/>
        <v>4.5522505736620686E-2</v>
      </c>
      <c r="K82" s="71">
        <v>80</v>
      </c>
    </row>
    <row r="83" spans="1:11" x14ac:dyDescent="0.2">
      <c r="A83" s="68">
        <v>44766</v>
      </c>
      <c r="B83" s="72">
        <v>37607549.75</v>
      </c>
      <c r="C83" s="69">
        <f t="shared" si="12"/>
        <v>35615901.914387673</v>
      </c>
      <c r="D83" s="69">
        <f t="shared" si="9"/>
        <v>-218546.70791165109</v>
      </c>
      <c r="E83" s="78">
        <f t="shared" si="10"/>
        <v>1.0154553176898165</v>
      </c>
      <c r="F83" s="79">
        <f t="shared" si="11"/>
        <v>35944432.57657139</v>
      </c>
      <c r="G83" s="69">
        <f t="shared" si="13"/>
        <v>1663117.17342861</v>
      </c>
      <c r="H83" s="69">
        <f t="shared" si="14"/>
        <v>1663117.17342861</v>
      </c>
      <c r="I83" s="69">
        <f t="shared" si="15"/>
        <v>2765958732553.1689</v>
      </c>
      <c r="J83" s="70">
        <f t="shared" si="16"/>
        <v>4.422296013657763E-2</v>
      </c>
      <c r="K83" s="71">
        <v>81</v>
      </c>
    </row>
    <row r="84" spans="1:11" x14ac:dyDescent="0.2">
      <c r="A84" s="68">
        <v>44773</v>
      </c>
      <c r="B84" s="72">
        <v>37776375.590000004</v>
      </c>
      <c r="C84" s="69">
        <f t="shared" si="12"/>
        <v>36078352.82253702</v>
      </c>
      <c r="D84" s="69">
        <f t="shared" si="9"/>
        <v>-211866.12401709298</v>
      </c>
      <c r="E84" s="78">
        <f t="shared" si="10"/>
        <v>0.99178068925110052</v>
      </c>
      <c r="F84" s="79">
        <f t="shared" si="11"/>
        <v>35571688.898873523</v>
      </c>
      <c r="G84" s="69">
        <f t="shared" si="13"/>
        <v>2204686.6911264807</v>
      </c>
      <c r="H84" s="69">
        <f t="shared" si="14"/>
        <v>2204686.6911264807</v>
      </c>
      <c r="I84" s="69">
        <f t="shared" si="15"/>
        <v>4860643406030.2305</v>
      </c>
      <c r="J84" s="70">
        <f t="shared" si="16"/>
        <v>5.8361519777723081E-2</v>
      </c>
      <c r="K84" s="71">
        <v>82</v>
      </c>
    </row>
    <row r="85" spans="1:11" x14ac:dyDescent="0.2">
      <c r="A85" s="68">
        <v>44780</v>
      </c>
      <c r="B85" s="72">
        <v>37822445.420000002</v>
      </c>
      <c r="C85" s="69">
        <f t="shared" si="12"/>
        <v>36790790.61694178</v>
      </c>
      <c r="D85" s="69">
        <f t="shared" si="9"/>
        <v>-202798.70626781718</v>
      </c>
      <c r="E85" s="78">
        <f t="shared" si="10"/>
        <v>1.0063503246349874</v>
      </c>
      <c r="F85" s="79">
        <f t="shared" si="11"/>
        <v>36820337.537049033</v>
      </c>
      <c r="G85" s="69">
        <f t="shared" si="13"/>
        <v>1002107.882950969</v>
      </c>
      <c r="H85" s="69">
        <f t="shared" si="14"/>
        <v>1002107.882950969</v>
      </c>
      <c r="I85" s="69">
        <f t="shared" si="15"/>
        <v>1004220209072.473</v>
      </c>
      <c r="J85" s="70">
        <f t="shared" si="16"/>
        <v>2.6495057943055893E-2</v>
      </c>
      <c r="K85" s="71">
        <v>83</v>
      </c>
    </row>
    <row r="86" spans="1:11" x14ac:dyDescent="0.2">
      <c r="A86" s="68">
        <v>44787</v>
      </c>
      <c r="B86" s="72">
        <v>38631513.520000003</v>
      </c>
      <c r="C86" s="69">
        <f t="shared" si="12"/>
        <v>37002038.154507801</v>
      </c>
      <c r="D86" s="69">
        <f t="shared" si="9"/>
        <v>-198736.91426895815</v>
      </c>
      <c r="E86" s="78">
        <f t="shared" si="10"/>
        <v>0.99725329363231108</v>
      </c>
      <c r="F86" s="79">
        <f t="shared" si="11"/>
        <v>36702213.378370307</v>
      </c>
      <c r="G86" s="69">
        <f t="shared" si="13"/>
        <v>1929300.1416296959</v>
      </c>
      <c r="H86" s="69">
        <f t="shared" si="14"/>
        <v>1929300.1416296959</v>
      </c>
      <c r="I86" s="69">
        <f t="shared" si="15"/>
        <v>3722199036492.3647</v>
      </c>
      <c r="J86" s="70">
        <f t="shared" si="16"/>
        <v>4.9941096421989108E-2</v>
      </c>
      <c r="K86" s="71">
        <v>84</v>
      </c>
    </row>
    <row r="87" spans="1:11" x14ac:dyDescent="0.2">
      <c r="A87" s="68">
        <v>44794</v>
      </c>
      <c r="B87" s="72">
        <v>37166436.039999999</v>
      </c>
      <c r="C87" s="69">
        <f t="shared" ref="C87:C118" si="17">Alpha*(B86/E86)+(1-Alpha)*(C86+D86)</f>
        <v>37607712.013876081</v>
      </c>
      <c r="D87" s="69">
        <f t="shared" ref="D87:D118" si="18">Beta*(C87-C86)+(1-Beta)*D86</f>
        <v>-190845.64779132538</v>
      </c>
      <c r="E87" s="78">
        <f t="shared" ref="E87:E118" si="19">Gamma*(B35/C35)+(1-Gamma)*E35</f>
        <v>0.99167578190531092</v>
      </c>
      <c r="F87" s="79">
        <f t="shared" si="11"/>
        <v>37105400.210033625</v>
      </c>
      <c r="G87" s="69">
        <f t="shared" si="13"/>
        <v>61035.829966373742</v>
      </c>
      <c r="H87" s="69">
        <f t="shared" si="14"/>
        <v>61035.829966373742</v>
      </c>
      <c r="I87" s="69">
        <f t="shared" si="15"/>
        <v>3725372539.6840868</v>
      </c>
      <c r="J87" s="70">
        <f t="shared" si="16"/>
        <v>1.6422298307183544E-3</v>
      </c>
      <c r="K87" s="71">
        <v>85</v>
      </c>
    </row>
    <row r="88" spans="1:11" x14ac:dyDescent="0.2">
      <c r="A88" s="68">
        <v>44801</v>
      </c>
      <c r="B88" s="72">
        <v>37884257.579999998</v>
      </c>
      <c r="C88" s="69">
        <f t="shared" si="17"/>
        <v>37442458.040913515</v>
      </c>
      <c r="D88" s="69">
        <f t="shared" si="18"/>
        <v>-190594.59356343441</v>
      </c>
      <c r="E88" s="78">
        <f t="shared" si="19"/>
        <v>1.003872110630218</v>
      </c>
      <c r="F88" s="79">
        <f t="shared" si="11"/>
        <v>37396106.783799991</v>
      </c>
      <c r="G88" s="69">
        <f t="shared" si="13"/>
        <v>488150.7962000072</v>
      </c>
      <c r="H88" s="69">
        <f t="shared" si="14"/>
        <v>488150.7962000072</v>
      </c>
      <c r="I88" s="69">
        <f t="shared" si="15"/>
        <v>238291199830.70096</v>
      </c>
      <c r="J88" s="70">
        <f t="shared" si="16"/>
        <v>1.2885320377974456E-2</v>
      </c>
      <c r="K88" s="71">
        <v>86</v>
      </c>
    </row>
    <row r="89" spans="1:11" x14ac:dyDescent="0.2">
      <c r="A89" s="68">
        <v>44808</v>
      </c>
      <c r="B89" s="72">
        <v>40194486.539999999</v>
      </c>
      <c r="C89" s="69">
        <f t="shared" si="17"/>
        <v>37454053.215747058</v>
      </c>
      <c r="D89" s="69">
        <f t="shared" si="18"/>
        <v>-188611.11274273752</v>
      </c>
      <c r="E89" s="78">
        <f t="shared" si="19"/>
        <v>1.0185359487910051</v>
      </c>
      <c r="F89" s="79">
        <f t="shared" si="11"/>
        <v>37956192.429499775</v>
      </c>
      <c r="G89" s="69">
        <f t="shared" si="13"/>
        <v>2238294.1105002239</v>
      </c>
      <c r="H89" s="69">
        <f t="shared" si="14"/>
        <v>2238294.1105002239</v>
      </c>
      <c r="I89" s="69">
        <f t="shared" si="15"/>
        <v>5009960525099.9883</v>
      </c>
      <c r="J89" s="70">
        <f t="shared" si="16"/>
        <v>5.5686595430762875E-2</v>
      </c>
      <c r="K89" s="71">
        <v>87</v>
      </c>
    </row>
    <row r="90" spans="1:11" x14ac:dyDescent="0.2">
      <c r="A90" s="68">
        <v>44815</v>
      </c>
      <c r="B90" s="72">
        <v>37832978.259999998</v>
      </c>
      <c r="C90" s="69">
        <f t="shared" si="17"/>
        <v>38179185.710838899</v>
      </c>
      <c r="D90" s="69">
        <f t="shared" si="18"/>
        <v>-179647.291598159</v>
      </c>
      <c r="E90" s="78">
        <f t="shared" si="19"/>
        <v>0.95498648777253203</v>
      </c>
      <c r="F90" s="79">
        <f t="shared" si="11"/>
        <v>36289045.731968112</v>
      </c>
      <c r="G90" s="69">
        <f t="shared" si="13"/>
        <v>1543932.5280318856</v>
      </c>
      <c r="H90" s="69">
        <f t="shared" si="14"/>
        <v>1543932.5280318856</v>
      </c>
      <c r="I90" s="69">
        <f t="shared" si="15"/>
        <v>2383727651114.9292</v>
      </c>
      <c r="J90" s="70">
        <f t="shared" si="16"/>
        <v>4.0809172289358264E-2</v>
      </c>
      <c r="K90" s="71">
        <v>88</v>
      </c>
    </row>
    <row r="91" spans="1:11" x14ac:dyDescent="0.2">
      <c r="A91" s="68">
        <v>44822</v>
      </c>
      <c r="B91" s="72">
        <v>39359659.130000003</v>
      </c>
      <c r="C91" s="69">
        <f t="shared" si="17"/>
        <v>38671763.407324582</v>
      </c>
      <c r="D91" s="69">
        <f t="shared" si="18"/>
        <v>-173052.76714903055</v>
      </c>
      <c r="E91" s="78">
        <f t="shared" si="19"/>
        <v>0.94179133458752617</v>
      </c>
      <c r="F91" s="79">
        <f t="shared" si="11"/>
        <v>36257752.073709927</v>
      </c>
      <c r="G91" s="69">
        <f t="shared" si="13"/>
        <v>3101907.0562900752</v>
      </c>
      <c r="H91" s="69">
        <f t="shared" si="14"/>
        <v>3101907.0562900752</v>
      </c>
      <c r="I91" s="69">
        <f t="shared" si="15"/>
        <v>9621827385862.1602</v>
      </c>
      <c r="J91" s="70">
        <f t="shared" si="16"/>
        <v>7.8809296748350036E-2</v>
      </c>
      <c r="K91" s="71">
        <v>89</v>
      </c>
    </row>
    <row r="92" spans="1:11" x14ac:dyDescent="0.2">
      <c r="A92" s="68">
        <v>44829</v>
      </c>
      <c r="B92" s="72">
        <v>37744796.200000003</v>
      </c>
      <c r="C92" s="69">
        <f t="shared" si="17"/>
        <v>39868196.814703241</v>
      </c>
      <c r="D92" s="69">
        <f t="shared" si="18"/>
        <v>-159618.11324482333</v>
      </c>
      <c r="E92" s="78">
        <f t="shared" si="19"/>
        <v>0.95102741215882269</v>
      </c>
      <c r="F92" s="79">
        <f t="shared" si="11"/>
        <v>37763946.842952944</v>
      </c>
      <c r="G92" s="69">
        <f t="shared" si="13"/>
        <v>-19150.642952941358</v>
      </c>
      <c r="H92" s="69">
        <f t="shared" si="14"/>
        <v>19150.642952941358</v>
      </c>
      <c r="I92" s="69">
        <f t="shared" si="15"/>
        <v>366747125.51104248</v>
      </c>
      <c r="J92" s="70">
        <f t="shared" si="16"/>
        <v>-5.0737174076836999E-4</v>
      </c>
      <c r="K92" s="71">
        <v>90</v>
      </c>
    </row>
    <row r="93" spans="1:11" x14ac:dyDescent="0.2">
      <c r="A93" s="68">
        <v>44836</v>
      </c>
      <c r="B93" s="72">
        <v>35582958.509999998</v>
      </c>
      <c r="C93" s="69">
        <f t="shared" si="17"/>
        <v>39700205.840372182</v>
      </c>
      <c r="D93" s="69">
        <f t="shared" si="18"/>
        <v>-159700.25097864922</v>
      </c>
      <c r="E93" s="78">
        <f t="shared" si="19"/>
        <v>0.96994429562266571</v>
      </c>
      <c r="F93" s="79">
        <f t="shared" si="11"/>
        <v>38352087.842468388</v>
      </c>
      <c r="G93" s="69">
        <f t="shared" si="13"/>
        <v>-2769129.3324683905</v>
      </c>
      <c r="H93" s="69">
        <f t="shared" si="14"/>
        <v>2769129.3324683905</v>
      </c>
      <c r="I93" s="69">
        <f t="shared" si="15"/>
        <v>7668077259936.834</v>
      </c>
      <c r="J93" s="70">
        <f t="shared" si="16"/>
        <v>-7.7821784596414964E-2</v>
      </c>
      <c r="K93" s="71">
        <v>91</v>
      </c>
    </row>
    <row r="94" spans="1:11" x14ac:dyDescent="0.2">
      <c r="A94" s="68">
        <v>44843</v>
      </c>
      <c r="B94" s="72">
        <v>37772503.689999998</v>
      </c>
      <c r="C94" s="69">
        <f t="shared" si="17"/>
        <v>38353425.533554405</v>
      </c>
      <c r="D94" s="69">
        <f t="shared" si="18"/>
        <v>-171345.50158680949</v>
      </c>
      <c r="E94" s="78">
        <f t="shared" si="19"/>
        <v>0.97826481621494232</v>
      </c>
      <c r="F94" s="79">
        <f t="shared" si="11"/>
        <v>37352185.505176999</v>
      </c>
      <c r="G94" s="69">
        <f t="shared" si="13"/>
        <v>420318.18482299894</v>
      </c>
      <c r="H94" s="69">
        <f t="shared" si="14"/>
        <v>420318.18482299894</v>
      </c>
      <c r="I94" s="69">
        <f t="shared" si="15"/>
        <v>176667376492.9007</v>
      </c>
      <c r="J94" s="70">
        <f t="shared" si="16"/>
        <v>1.1127623105753385E-2</v>
      </c>
      <c r="K94" s="71">
        <v>92</v>
      </c>
    </row>
    <row r="95" spans="1:11" x14ac:dyDescent="0.2">
      <c r="A95" s="68">
        <v>44850</v>
      </c>
      <c r="B95" s="72">
        <v>36576196.009999998</v>
      </c>
      <c r="C95" s="69">
        <f t="shared" si="17"/>
        <v>38360730.972697794</v>
      </c>
      <c r="D95" s="69">
        <f t="shared" si="18"/>
        <v>-169592.93657154089</v>
      </c>
      <c r="E95" s="78">
        <f t="shared" si="19"/>
        <v>0.97671720138983487</v>
      </c>
      <c r="F95" s="79">
        <f t="shared" si="11"/>
        <v>37301941.460538112</v>
      </c>
      <c r="G95" s="69">
        <f t="shared" si="13"/>
        <v>-725745.45053811371</v>
      </c>
      <c r="H95" s="69">
        <f t="shared" si="14"/>
        <v>725745.45053811371</v>
      </c>
      <c r="I95" s="69">
        <f t="shared" si="15"/>
        <v>526706458976.76965</v>
      </c>
      <c r="J95" s="70">
        <f t="shared" si="16"/>
        <v>-1.9842015564978208E-2</v>
      </c>
      <c r="K95" s="71">
        <v>93</v>
      </c>
    </row>
    <row r="96" spans="1:11" x14ac:dyDescent="0.2">
      <c r="A96" s="68">
        <v>44857</v>
      </c>
      <c r="B96" s="72">
        <v>39468929.240000002</v>
      </c>
      <c r="C96" s="69">
        <f t="shared" si="17"/>
        <v>37882180.319024563</v>
      </c>
      <c r="D96" s="69">
        <f t="shared" si="18"/>
        <v>-172623.81054274159</v>
      </c>
      <c r="E96" s="78">
        <f t="shared" si="19"/>
        <v>0.97800163553739528</v>
      </c>
      <c r="F96" s="79">
        <f t="shared" si="11"/>
        <v>36880007.940685049</v>
      </c>
      <c r="G96" s="69">
        <f t="shared" si="13"/>
        <v>2588921.2993149534</v>
      </c>
      <c r="H96" s="69">
        <f t="shared" si="14"/>
        <v>2588921.2993149534</v>
      </c>
      <c r="I96" s="69">
        <f t="shared" si="15"/>
        <v>6702513494046.626</v>
      </c>
      <c r="J96" s="70">
        <f t="shared" si="16"/>
        <v>6.5593907642449975E-2</v>
      </c>
      <c r="K96" s="71">
        <v>94</v>
      </c>
    </row>
    <row r="97" spans="1:11" x14ac:dyDescent="0.2">
      <c r="A97" s="68">
        <v>44864</v>
      </c>
      <c r="B97" s="72">
        <v>38262004.840000004</v>
      </c>
      <c r="C97" s="69">
        <f t="shared" si="17"/>
        <v>38810240.953790225</v>
      </c>
      <c r="D97" s="69">
        <f t="shared" si="18"/>
        <v>-161826.10052893835</v>
      </c>
      <c r="E97" s="78">
        <f t="shared" si="19"/>
        <v>0.98864832434174343</v>
      </c>
      <c r="F97" s="79">
        <f t="shared" si="11"/>
        <v>38209690.583141319</v>
      </c>
      <c r="G97" s="69">
        <f t="shared" si="13"/>
        <v>52314.256858684123</v>
      </c>
      <c r="H97" s="69">
        <f t="shared" si="14"/>
        <v>52314.256858684123</v>
      </c>
      <c r="I97" s="69">
        <f t="shared" si="15"/>
        <v>2736781470.6763787</v>
      </c>
      <c r="J97" s="70">
        <f t="shared" si="16"/>
        <v>1.3672638712332597E-3</v>
      </c>
      <c r="K97" s="71">
        <v>95</v>
      </c>
    </row>
    <row r="98" spans="1:11" x14ac:dyDescent="0.2">
      <c r="A98" s="68">
        <v>44871</v>
      </c>
      <c r="B98" s="72">
        <v>40541613.909999996</v>
      </c>
      <c r="C98" s="69">
        <f t="shared" si="17"/>
        <v>38670416.834372222</v>
      </c>
      <c r="D98" s="69">
        <f t="shared" si="18"/>
        <v>-161610.26118208678</v>
      </c>
      <c r="E98" s="78">
        <f t="shared" si="19"/>
        <v>1.0304462024552619</v>
      </c>
      <c r="F98" s="79">
        <f t="shared" si="11"/>
        <v>39681253.494428001</v>
      </c>
      <c r="G98" s="69">
        <f t="shared" si="13"/>
        <v>860360.41557199508</v>
      </c>
      <c r="H98" s="69">
        <f t="shared" si="14"/>
        <v>860360.41557199508</v>
      </c>
      <c r="I98" s="69">
        <f t="shared" si="15"/>
        <v>740220044683.21606</v>
      </c>
      <c r="J98" s="70">
        <f t="shared" si="16"/>
        <v>2.1221661709914772E-2</v>
      </c>
      <c r="K98" s="71">
        <v>96</v>
      </c>
    </row>
    <row r="99" spans="1:11" x14ac:dyDescent="0.2">
      <c r="A99" s="68">
        <v>44878</v>
      </c>
      <c r="B99" s="72">
        <v>38848170.280000001</v>
      </c>
      <c r="C99" s="69">
        <f t="shared" si="17"/>
        <v>38855973.751261398</v>
      </c>
      <c r="D99" s="69">
        <f t="shared" si="18"/>
        <v>-158204.55255133242</v>
      </c>
      <c r="E99" s="78">
        <f t="shared" si="19"/>
        <v>1.0064075906037799</v>
      </c>
      <c r="F99" s="79">
        <f t="shared" si="11"/>
        <v>38945728.661014967</v>
      </c>
      <c r="G99" s="69">
        <f t="shared" si="13"/>
        <v>-97558.381014965475</v>
      </c>
      <c r="H99" s="69">
        <f t="shared" si="14"/>
        <v>97558.381014965475</v>
      </c>
      <c r="I99" s="69">
        <f t="shared" si="15"/>
        <v>9517637706.2611752</v>
      </c>
      <c r="J99" s="70">
        <f t="shared" si="16"/>
        <v>-2.5112735120292381E-3</v>
      </c>
      <c r="K99" s="71">
        <v>97</v>
      </c>
    </row>
    <row r="100" spans="1:11" x14ac:dyDescent="0.2">
      <c r="A100" s="68">
        <v>44885</v>
      </c>
      <c r="B100" s="72">
        <v>34706184.390000001</v>
      </c>
      <c r="C100" s="69">
        <f t="shared" si="17"/>
        <v>38657462.777170815</v>
      </c>
      <c r="D100" s="69">
        <f t="shared" si="18"/>
        <v>-158599.95838570214</v>
      </c>
      <c r="E100" s="78">
        <f t="shared" si="19"/>
        <v>0.9327696701414333</v>
      </c>
      <c r="F100" s="79">
        <f t="shared" si="11"/>
        <v>35910571.572298482</v>
      </c>
      <c r="G100" s="69">
        <f t="shared" si="13"/>
        <v>-1204387.1822984815</v>
      </c>
      <c r="H100" s="69">
        <f t="shared" si="14"/>
        <v>1204387.1822984815</v>
      </c>
      <c r="I100" s="69">
        <f t="shared" si="15"/>
        <v>1450548484884.8757</v>
      </c>
      <c r="J100" s="70">
        <f t="shared" si="16"/>
        <v>-3.4702379517280071E-2</v>
      </c>
      <c r="K100" s="71">
        <v>98</v>
      </c>
    </row>
    <row r="101" spans="1:11" x14ac:dyDescent="0.2">
      <c r="A101" s="68">
        <v>44892</v>
      </c>
      <c r="B101" s="72">
        <v>31923152.899999999</v>
      </c>
      <c r="C101" s="69">
        <f t="shared" si="17"/>
        <v>37961985.236048445</v>
      </c>
      <c r="D101" s="69">
        <f t="shared" si="18"/>
        <v>-163866.72532877262</v>
      </c>
      <c r="E101" s="78">
        <f t="shared" si="19"/>
        <v>0.85444018211457706</v>
      </c>
      <c r="F101" s="79">
        <f t="shared" si="11"/>
        <v>32296231.263887681</v>
      </c>
      <c r="G101" s="69">
        <f t="shared" si="13"/>
        <v>-373078.36388768256</v>
      </c>
      <c r="H101" s="69">
        <f t="shared" si="14"/>
        <v>373078.36388768256</v>
      </c>
      <c r="I101" s="69">
        <f t="shared" si="15"/>
        <v>139187465601.11008</v>
      </c>
      <c r="J101" s="70">
        <f t="shared" si="16"/>
        <v>-1.1686764307283777E-2</v>
      </c>
      <c r="K101" s="71">
        <v>99</v>
      </c>
    </row>
    <row r="102" spans="1:11" x14ac:dyDescent="0.2">
      <c r="A102" s="68">
        <v>44899</v>
      </c>
      <c r="B102" s="72">
        <v>38604872.299999997</v>
      </c>
      <c r="C102" s="69">
        <f t="shared" si="17"/>
        <v>37616566.12453635</v>
      </c>
      <c r="D102" s="69">
        <f t="shared" si="18"/>
        <v>-165647.75351235186</v>
      </c>
      <c r="E102" s="78">
        <f t="shared" si="19"/>
        <v>1.0581401570564539</v>
      </c>
      <c r="F102" s="79">
        <f t="shared" si="11"/>
        <v>39628320.647023767</v>
      </c>
      <c r="G102" s="69">
        <f t="shared" si="13"/>
        <v>-1023448.3470237702</v>
      </c>
      <c r="H102" s="69">
        <f t="shared" si="14"/>
        <v>1023448.3470237702</v>
      </c>
      <c r="I102" s="69">
        <f t="shared" si="15"/>
        <v>1047446519025.6876</v>
      </c>
      <c r="J102" s="70">
        <f t="shared" si="16"/>
        <v>-2.6510859537897509E-2</v>
      </c>
      <c r="K102" s="71">
        <v>100</v>
      </c>
    </row>
    <row r="103" spans="1:11" x14ac:dyDescent="0.2">
      <c r="A103" s="68">
        <v>44906</v>
      </c>
      <c r="B103" s="72">
        <v>38758873.909999996</v>
      </c>
      <c r="C103" s="69">
        <f t="shared" si="17"/>
        <v>37048751.498180822</v>
      </c>
      <c r="D103" s="69">
        <f t="shared" si="18"/>
        <v>-169593.00892922291</v>
      </c>
      <c r="E103" s="78">
        <f t="shared" si="19"/>
        <v>1.0385475077786759</v>
      </c>
      <c r="F103" s="79">
        <f t="shared" si="11"/>
        <v>38300758.137987047</v>
      </c>
      <c r="G103" s="69">
        <f t="shared" si="13"/>
        <v>458115.77201294899</v>
      </c>
      <c r="H103" s="69">
        <f t="shared" si="14"/>
        <v>458115.77201294899</v>
      </c>
      <c r="I103" s="69">
        <f t="shared" si="15"/>
        <v>209870060567.02026</v>
      </c>
      <c r="J103" s="70">
        <f t="shared" si="16"/>
        <v>1.1819635758167697E-2</v>
      </c>
      <c r="K103" s="71">
        <v>101</v>
      </c>
    </row>
    <row r="104" spans="1:11" x14ac:dyDescent="0.2">
      <c r="A104" s="68">
        <v>44913</v>
      </c>
      <c r="B104" s="72">
        <v>36758552.939999998</v>
      </c>
      <c r="C104" s="69">
        <f t="shared" si="17"/>
        <v>37062572.470427163</v>
      </c>
      <c r="D104" s="69">
        <f t="shared" si="18"/>
        <v>-167793.71850620254</v>
      </c>
      <c r="E104" s="78">
        <f t="shared" si="19"/>
        <v>0.96555906379010736</v>
      </c>
      <c r="F104" s="79">
        <f t="shared" si="11"/>
        <v>35624088.030447952</v>
      </c>
      <c r="G104" s="69">
        <f t="shared" si="13"/>
        <v>1134464.9095520452</v>
      </c>
      <c r="H104" s="69">
        <f t="shared" si="14"/>
        <v>1134464.9095520452</v>
      </c>
      <c r="I104" s="69">
        <f t="shared" si="15"/>
        <v>1287010631004.9299</v>
      </c>
      <c r="J104" s="70">
        <f t="shared" si="16"/>
        <v>3.0862610707331213E-2</v>
      </c>
      <c r="K104" s="71">
        <v>102</v>
      </c>
    </row>
    <row r="105" spans="1:11" x14ac:dyDescent="0.2">
      <c r="A105" s="68">
        <v>44920</v>
      </c>
      <c r="B105" s="72">
        <v>35482987.579999998</v>
      </c>
      <c r="C105" s="69">
        <f t="shared" si="17"/>
        <v>37383313.865148887</v>
      </c>
      <c r="D105" s="69">
        <f t="shared" si="18"/>
        <v>-163001.19099599717</v>
      </c>
      <c r="E105" s="78">
        <f t="shared" si="19"/>
        <v>0.95413664532706222</v>
      </c>
      <c r="F105" s="79">
        <f t="shared" si="11"/>
        <v>35513264.272940576</v>
      </c>
      <c r="G105" s="69">
        <f t="shared" si="13"/>
        <v>-30276.692940577865</v>
      </c>
      <c r="H105" s="69">
        <f t="shared" si="14"/>
        <v>30276.692940577865</v>
      </c>
      <c r="I105" s="69">
        <f t="shared" si="15"/>
        <v>916678135.41803753</v>
      </c>
      <c r="J105" s="70">
        <f t="shared" si="16"/>
        <v>-8.5327349824520799E-4</v>
      </c>
      <c r="K105" s="71">
        <v>103</v>
      </c>
    </row>
    <row r="106" spans="1:11" x14ac:dyDescent="0.2">
      <c r="A106" s="68">
        <v>44927</v>
      </c>
      <c r="B106" s="72">
        <v>41686223.880000003</v>
      </c>
      <c r="C106" s="69">
        <f t="shared" si="17"/>
        <v>37207118.524004057</v>
      </c>
      <c r="D106" s="69">
        <f t="shared" si="18"/>
        <v>-163130.62555627729</v>
      </c>
      <c r="E106" s="78">
        <f t="shared" si="19"/>
        <v>1.2696535951210923</v>
      </c>
      <c r="F106" s="79">
        <f t="shared" si="11"/>
        <v>47033032.412886463</v>
      </c>
      <c r="G106" s="69">
        <f t="shared" si="13"/>
        <v>-5346808.5328864604</v>
      </c>
      <c r="H106" s="69">
        <f t="shared" si="14"/>
        <v>5346808.5328864604</v>
      </c>
      <c r="I106" s="69">
        <f t="shared" si="15"/>
        <v>28588361487347.465</v>
      </c>
      <c r="J106" s="70">
        <f t="shared" si="16"/>
        <v>-0.12826320149021039</v>
      </c>
      <c r="K106" s="71">
        <v>104</v>
      </c>
    </row>
    <row r="107" spans="1:11" x14ac:dyDescent="0.2">
      <c r="A107" s="68">
        <v>44935</v>
      </c>
      <c r="B107" s="72">
        <v>43253557.229999997</v>
      </c>
      <c r="C107" s="69">
        <f t="shared" si="17"/>
        <v>35292960.476408996</v>
      </c>
      <c r="D107" s="69">
        <f t="shared" si="18"/>
        <v>-180308.19757519921</v>
      </c>
      <c r="E107" s="78">
        <f t="shared" si="19"/>
        <v>1.0975350822110799</v>
      </c>
      <c r="F107" s="79">
        <f t="shared" si="11"/>
        <v>38537367.705498911</v>
      </c>
      <c r="G107" s="69">
        <f t="shared" si="13"/>
        <v>4716189.5245010853</v>
      </c>
      <c r="H107" s="69">
        <f t="shared" si="14"/>
        <v>4716189.5245010853</v>
      </c>
      <c r="I107" s="69">
        <f t="shared" si="15"/>
        <v>22242443631013.773</v>
      </c>
      <c r="J107" s="70">
        <f t="shared" si="16"/>
        <v>0.10903587650427995</v>
      </c>
      <c r="K107" s="71">
        <v>105</v>
      </c>
    </row>
    <row r="108" spans="1:11" x14ac:dyDescent="0.2">
      <c r="A108" s="68">
        <v>44941</v>
      </c>
      <c r="B108" s="72">
        <v>44242457.579999998</v>
      </c>
      <c r="C108" s="69">
        <f t="shared" si="17"/>
        <v>36899371.871759482</v>
      </c>
      <c r="D108" s="69">
        <f t="shared" si="18"/>
        <v>-162780.48550238393</v>
      </c>
      <c r="E108" s="78">
        <f t="shared" si="19"/>
        <v>1.0500304388395989</v>
      </c>
      <c r="F108" s="79">
        <f t="shared" si="11"/>
        <v>38574539.174782567</v>
      </c>
      <c r="G108" s="69">
        <f t="shared" si="13"/>
        <v>5667918.4052174315</v>
      </c>
      <c r="H108" s="69">
        <f t="shared" si="14"/>
        <v>5667918.4052174315</v>
      </c>
      <c r="I108" s="69">
        <f t="shared" si="15"/>
        <v>32125299048202.512</v>
      </c>
      <c r="J108" s="70">
        <f t="shared" si="16"/>
        <v>0.12811038796768015</v>
      </c>
      <c r="K108" s="71">
        <v>106</v>
      </c>
    </row>
    <row r="109" spans="1:11" x14ac:dyDescent="0.2">
      <c r="A109" s="68">
        <v>44948</v>
      </c>
      <c r="B109" s="72">
        <v>44266056.450000003</v>
      </c>
      <c r="C109" s="69">
        <f t="shared" si="17"/>
        <v>38981017.238535054</v>
      </c>
      <c r="D109" s="69">
        <f t="shared" si="18"/>
        <v>-140762.67685279393</v>
      </c>
      <c r="E109" s="78">
        <f t="shared" si="19"/>
        <v>0.99410981922877673</v>
      </c>
      <c r="F109" s="79">
        <f t="shared" si="11"/>
        <v>38611478.441113621</v>
      </c>
      <c r="G109" s="69">
        <f t="shared" si="13"/>
        <v>5654578.008886382</v>
      </c>
      <c r="H109" s="69">
        <f t="shared" si="14"/>
        <v>5654578.008886382</v>
      </c>
      <c r="I109" s="69">
        <f t="shared" si="15"/>
        <v>31974252458581.48</v>
      </c>
      <c r="J109" s="70">
        <f t="shared" si="16"/>
        <v>0.12774072195189598</v>
      </c>
      <c r="K109" s="71">
        <v>107</v>
      </c>
    </row>
    <row r="110" spans="1:11" x14ac:dyDescent="0.2">
      <c r="A110" s="68">
        <v>44955</v>
      </c>
      <c r="B110" s="72">
        <v>45740575.450000003</v>
      </c>
      <c r="C110" s="69">
        <f t="shared" si="17"/>
        <v>41205353.962302275</v>
      </c>
      <c r="D110" s="69">
        <f t="shared" si="18"/>
        <v>-117561.06117577826</v>
      </c>
      <c r="E110" s="78">
        <f t="shared" si="19"/>
        <v>1.0399122954281943</v>
      </c>
      <c r="F110" s="79">
        <f t="shared" si="11"/>
        <v>42727701.029888719</v>
      </c>
      <c r="G110" s="69">
        <f t="shared" si="13"/>
        <v>3012874.4201112837</v>
      </c>
      <c r="H110" s="69">
        <f t="shared" si="14"/>
        <v>3012874.4201112837</v>
      </c>
      <c r="I110" s="69">
        <f t="shared" si="15"/>
        <v>9077412271360.9043</v>
      </c>
      <c r="J110" s="70">
        <f t="shared" si="16"/>
        <v>6.5868747615663928E-2</v>
      </c>
      <c r="K110" s="71">
        <v>108</v>
      </c>
    </row>
    <row r="111" spans="1:11" x14ac:dyDescent="0.2">
      <c r="A111" s="68">
        <v>44962</v>
      </c>
      <c r="B111" s="72">
        <v>46522947.25</v>
      </c>
      <c r="C111" s="69">
        <f t="shared" si="17"/>
        <v>42292462.300742492</v>
      </c>
      <c r="D111" s="69">
        <f t="shared" si="18"/>
        <v>-105743.2591753954</v>
      </c>
      <c r="E111" s="78">
        <f t="shared" si="19"/>
        <v>1.1322388033320796</v>
      </c>
      <c r="F111" s="79">
        <f t="shared" si="11"/>
        <v>47765440.284130581</v>
      </c>
      <c r="G111" s="69">
        <f t="shared" si="13"/>
        <v>-1242493.0341305807</v>
      </c>
      <c r="H111" s="69">
        <f t="shared" si="14"/>
        <v>1242493.0341305807</v>
      </c>
      <c r="I111" s="69">
        <f t="shared" si="15"/>
        <v>1543788939863.0164</v>
      </c>
      <c r="J111" s="70">
        <f t="shared" si="16"/>
        <v>-2.6707100636892276E-2</v>
      </c>
      <c r="K111" s="71">
        <v>109</v>
      </c>
    </row>
    <row r="112" spans="1:11" x14ac:dyDescent="0.2">
      <c r="A112" s="68">
        <v>44969</v>
      </c>
      <c r="B112" s="72">
        <v>55094740</v>
      </c>
      <c r="C112" s="69">
        <f t="shared" si="17"/>
        <v>41730430.576852307</v>
      </c>
      <c r="D112" s="69">
        <f t="shared" si="18"/>
        <v>-110219.44719243722</v>
      </c>
      <c r="E112" s="78">
        <f t="shared" si="19"/>
        <v>1.23757424993306</v>
      </c>
      <c r="F112" s="79">
        <f t="shared" si="11"/>
        <v>51508101.570844404</v>
      </c>
      <c r="G112" s="69">
        <f t="shared" si="13"/>
        <v>3586638.4291555956</v>
      </c>
      <c r="H112" s="69">
        <f t="shared" si="14"/>
        <v>3586638.4291555956</v>
      </c>
      <c r="I112" s="69">
        <f t="shared" si="15"/>
        <v>12863975221495.719</v>
      </c>
      <c r="J112" s="70">
        <f t="shared" si="16"/>
        <v>6.5099471004956111E-2</v>
      </c>
      <c r="K112" s="71">
        <v>110</v>
      </c>
    </row>
    <row r="113" spans="1:11" x14ac:dyDescent="0.2">
      <c r="A113" s="68">
        <v>44976</v>
      </c>
      <c r="B113" s="72">
        <v>44520251.399999999</v>
      </c>
      <c r="C113" s="69">
        <f t="shared" si="17"/>
        <v>42825246.777773067</v>
      </c>
      <c r="D113" s="69">
        <f t="shared" si="18"/>
        <v>-98398.052295759102</v>
      </c>
      <c r="E113" s="78">
        <f t="shared" si="19"/>
        <v>0.93155065922238744</v>
      </c>
      <c r="F113" s="79">
        <f t="shared" si="11"/>
        <v>39802224.09671361</v>
      </c>
      <c r="G113" s="69">
        <f t="shared" si="13"/>
        <v>4718027.3032863885</v>
      </c>
      <c r="H113" s="69">
        <f t="shared" si="14"/>
        <v>4718027.3032863885</v>
      </c>
      <c r="I113" s="69">
        <f t="shared" si="15"/>
        <v>22259781634555.832</v>
      </c>
      <c r="J113" s="70">
        <f t="shared" si="16"/>
        <v>0.10597485761920897</v>
      </c>
      <c r="K113" s="71">
        <v>111</v>
      </c>
    </row>
    <row r="114" spans="1:11" x14ac:dyDescent="0.2">
      <c r="A114" s="68">
        <v>44983</v>
      </c>
      <c r="B114" s="72">
        <v>43835019.670000002</v>
      </c>
      <c r="C114" s="69">
        <f t="shared" si="17"/>
        <v>44832747.70443546</v>
      </c>
      <c r="D114" s="69">
        <f t="shared" si="18"/>
        <v>-77739.191720343995</v>
      </c>
      <c r="E114" s="78">
        <f t="shared" si="19"/>
        <v>0.95013303456019771</v>
      </c>
      <c r="F114" s="79">
        <f t="shared" si="11"/>
        <v>42523212.04995349</v>
      </c>
      <c r="G114" s="69">
        <f t="shared" si="13"/>
        <v>1311807.6200465113</v>
      </c>
      <c r="H114" s="69">
        <f t="shared" si="14"/>
        <v>1311807.6200465113</v>
      </c>
      <c r="I114" s="69">
        <f t="shared" si="15"/>
        <v>1720839232012.092</v>
      </c>
      <c r="J114" s="70">
        <f t="shared" si="16"/>
        <v>2.9926018738490309E-2</v>
      </c>
      <c r="K114" s="71">
        <v>112</v>
      </c>
    </row>
    <row r="115" spans="1:11" x14ac:dyDescent="0.2">
      <c r="A115" s="68">
        <v>44990</v>
      </c>
      <c r="B115" s="72">
        <v>45866860.07</v>
      </c>
      <c r="C115" s="69">
        <f t="shared" si="17"/>
        <v>45329084.383119002</v>
      </c>
      <c r="D115" s="69">
        <f t="shared" si="18"/>
        <v>-72107.509723778654</v>
      </c>
      <c r="E115" s="78">
        <f t="shared" si="19"/>
        <v>0.93139818747237402</v>
      </c>
      <c r="F115" s="79">
        <f t="shared" si="11"/>
        <v>42152266.230359465</v>
      </c>
      <c r="G115" s="69">
        <f t="shared" si="13"/>
        <v>3714593.8396405354</v>
      </c>
      <c r="H115" s="69">
        <f t="shared" si="14"/>
        <v>3714593.8396405354</v>
      </c>
      <c r="I115" s="69">
        <f t="shared" si="15"/>
        <v>13798207393495.416</v>
      </c>
      <c r="J115" s="70">
        <f t="shared" si="16"/>
        <v>8.0986442803616471E-2</v>
      </c>
      <c r="K115" s="71">
        <v>113</v>
      </c>
    </row>
    <row r="116" spans="1:11" x14ac:dyDescent="0.2">
      <c r="A116" s="68">
        <v>44997</v>
      </c>
      <c r="B116" s="72">
        <v>45801637.450000003</v>
      </c>
      <c r="C116" s="69">
        <f t="shared" si="17"/>
        <v>46915263.15277753</v>
      </c>
      <c r="D116" s="69">
        <f t="shared" si="18"/>
        <v>-55839.727944031794</v>
      </c>
      <c r="E116" s="78">
        <f t="shared" si="19"/>
        <v>0.97137758647355477</v>
      </c>
      <c r="F116" s="79">
        <f t="shared" si="11"/>
        <v>45518193.629957117</v>
      </c>
      <c r="G116" s="69">
        <f t="shared" si="13"/>
        <v>283443.82004288584</v>
      </c>
      <c r="H116" s="69">
        <f t="shared" si="14"/>
        <v>283443.82004288584</v>
      </c>
      <c r="I116" s="69">
        <f t="shared" si="15"/>
        <v>80340399120.503845</v>
      </c>
      <c r="J116" s="70">
        <f t="shared" si="16"/>
        <v>6.1885084425706664E-3</v>
      </c>
      <c r="K116" s="71">
        <v>114</v>
      </c>
    </row>
    <row r="117" spans="1:11" x14ac:dyDescent="0.2">
      <c r="A117" s="68">
        <v>45004</v>
      </c>
      <c r="B117" s="72">
        <v>46471164.350000001</v>
      </c>
      <c r="C117" s="69">
        <f t="shared" si="17"/>
        <v>46980751.826331206</v>
      </c>
      <c r="D117" s="69">
        <f t="shared" si="18"/>
        <v>-54649.496809763819</v>
      </c>
      <c r="E117" s="78">
        <f t="shared" si="19"/>
        <v>0.95731453723326454</v>
      </c>
      <c r="F117" s="79">
        <f t="shared" si="11"/>
        <v>44923039.935746633</v>
      </c>
      <c r="G117" s="69">
        <f t="shared" si="13"/>
        <v>1548124.414253369</v>
      </c>
      <c r="H117" s="69">
        <f t="shared" si="14"/>
        <v>1548124.414253369</v>
      </c>
      <c r="I117" s="69">
        <f t="shared" si="15"/>
        <v>2396689202007.3369</v>
      </c>
      <c r="J117" s="70">
        <f t="shared" si="16"/>
        <v>3.3313656670910782E-2</v>
      </c>
      <c r="K117" s="71">
        <v>115</v>
      </c>
    </row>
    <row r="118" spans="1:11" x14ac:dyDescent="0.2">
      <c r="A118" s="68">
        <v>45011</v>
      </c>
      <c r="B118" s="72">
        <v>47594981.539999999</v>
      </c>
      <c r="C118" s="69">
        <f t="shared" si="17"/>
        <v>47598513.264394403</v>
      </c>
      <c r="D118" s="69">
        <f t="shared" si="18"/>
        <v>-48053.148223376535</v>
      </c>
      <c r="E118" s="78">
        <f t="shared" si="19"/>
        <v>0.98643977446799991</v>
      </c>
      <c r="F118" s="79">
        <f t="shared" si="11"/>
        <v>46905665.152845368</v>
      </c>
      <c r="G118" s="69">
        <f t="shared" si="13"/>
        <v>689316.38715463132</v>
      </c>
      <c r="H118" s="69">
        <f t="shared" si="14"/>
        <v>689316.38715463132</v>
      </c>
      <c r="I118" s="69">
        <f t="shared" si="15"/>
        <v>475157081599.91357</v>
      </c>
      <c r="J118" s="70">
        <f t="shared" si="16"/>
        <v>1.4482963641351826E-2</v>
      </c>
      <c r="K118" s="71">
        <v>116</v>
      </c>
    </row>
    <row r="119" spans="1:11" x14ac:dyDescent="0.2">
      <c r="A119" s="68">
        <v>45018</v>
      </c>
      <c r="B119" s="72">
        <v>46185113.630000003</v>
      </c>
      <c r="C119" s="69">
        <f t="shared" ref="C119:C150" si="20">Alpha*(B118/E118)+(1-Alpha)*(C118+D118)</f>
        <v>47841017.281302921</v>
      </c>
      <c r="D119" s="69">
        <f t="shared" ref="D119:D150" si="21">Beta*(C119-C118)+(1-Beta)*D118</f>
        <v>-45202.783593532164</v>
      </c>
      <c r="E119" s="78">
        <f t="shared" ref="E119:E150" si="22">Gamma*(B67/C67)+(1-Gamma)*E67</f>
        <v>0.97420298663544735</v>
      </c>
      <c r="F119" s="79">
        <f t="shared" ref="F119:F174" si="23">(C119+D119)*E119</f>
        <v>46562825.232342295</v>
      </c>
      <c r="G119" s="69">
        <f t="shared" si="13"/>
        <v>-377711.60234229267</v>
      </c>
      <c r="H119" s="69">
        <f t="shared" si="14"/>
        <v>377711.60234229267</v>
      </c>
      <c r="I119" s="69">
        <f t="shared" si="15"/>
        <v>142666054543.98224</v>
      </c>
      <c r="J119" s="70">
        <f t="shared" si="16"/>
        <v>-8.1782109570679145E-3</v>
      </c>
      <c r="K119" s="71">
        <v>117</v>
      </c>
    </row>
    <row r="120" spans="1:11" x14ac:dyDescent="0.2">
      <c r="A120" s="68">
        <v>45025</v>
      </c>
      <c r="B120" s="72">
        <v>45099002.159999996</v>
      </c>
      <c r="C120" s="69">
        <f t="shared" si="20"/>
        <v>47634603.587332293</v>
      </c>
      <c r="D120" s="69">
        <f t="shared" si="21"/>
        <v>-46784.261980669151</v>
      </c>
      <c r="E120" s="78">
        <f t="shared" si="22"/>
        <v>0.97494884600056597</v>
      </c>
      <c r="F120" s="79">
        <f t="shared" si="23"/>
        <v>46395689.534934998</v>
      </c>
      <c r="G120" s="69">
        <f t="shared" ref="G120:G178" si="24">B120-F120</f>
        <v>-1296687.3749350011</v>
      </c>
      <c r="H120" s="69">
        <f t="shared" ref="H120:H178" si="25">ABS(G120)</f>
        <v>1296687.3749350011</v>
      </c>
      <c r="I120" s="69">
        <f t="shared" ref="I120:I178" si="26">H120*H120</f>
        <v>1681398148315.8242</v>
      </c>
      <c r="J120" s="70">
        <f t="shared" si="16"/>
        <v>-2.8752019176270866E-2</v>
      </c>
      <c r="K120" s="71">
        <v>118</v>
      </c>
    </row>
    <row r="121" spans="1:11" x14ac:dyDescent="0.2">
      <c r="A121" s="68">
        <v>45032</v>
      </c>
      <c r="B121" s="72">
        <v>45173804.509999998</v>
      </c>
      <c r="C121" s="69">
        <f t="shared" si="20"/>
        <v>47034804.193865627</v>
      </c>
      <c r="D121" s="69">
        <f t="shared" si="21"/>
        <v>-52209.338212538627</v>
      </c>
      <c r="E121" s="78">
        <f t="shared" si="22"/>
        <v>0.93032818063861633</v>
      </c>
      <c r="F121" s="79">
        <f t="shared" si="23"/>
        <v>43709231.993740946</v>
      </c>
      <c r="G121" s="69">
        <f t="shared" si="24"/>
        <v>1464572.5162590519</v>
      </c>
      <c r="H121" s="69">
        <f t="shared" si="25"/>
        <v>1464572.5162590519</v>
      </c>
      <c r="I121" s="69">
        <f t="shared" si="26"/>
        <v>2144972655381.3706</v>
      </c>
      <c r="J121" s="70">
        <f t="shared" si="16"/>
        <v>3.2420836193569738E-2</v>
      </c>
      <c r="K121" s="71">
        <v>119</v>
      </c>
    </row>
    <row r="122" spans="1:11" x14ac:dyDescent="0.2">
      <c r="A122" s="68">
        <v>45039</v>
      </c>
      <c r="B122" s="72">
        <v>46470171.119999997</v>
      </c>
      <c r="C122" s="69">
        <f t="shared" si="20"/>
        <v>47637168.123767942</v>
      </c>
      <c r="D122" s="69">
        <f t="shared" si="21"/>
        <v>-45787.977065828418</v>
      </c>
      <c r="E122" s="78">
        <f t="shared" si="22"/>
        <v>0.91603627923751407</v>
      </c>
      <c r="F122" s="79">
        <f t="shared" si="23"/>
        <v>43595430.793363102</v>
      </c>
      <c r="G122" s="69">
        <f t="shared" si="24"/>
        <v>2874740.3266368955</v>
      </c>
      <c r="H122" s="69">
        <f t="shared" si="25"/>
        <v>2874740.3266368955</v>
      </c>
      <c r="I122" s="69">
        <f t="shared" si="26"/>
        <v>8264131945592.4053</v>
      </c>
      <c r="J122" s="70">
        <f t="shared" si="16"/>
        <v>6.1862055967331152E-2</v>
      </c>
      <c r="K122" s="71">
        <v>120</v>
      </c>
    </row>
    <row r="123" spans="1:11" x14ac:dyDescent="0.2">
      <c r="A123" s="68">
        <v>45046</v>
      </c>
      <c r="B123" s="72">
        <v>46202011.280000001</v>
      </c>
      <c r="C123" s="69">
        <f t="shared" si="20"/>
        <v>48896256.944400229</v>
      </c>
      <c r="D123" s="69">
        <f t="shared" si="21"/>
        <v>-32987.140890355258</v>
      </c>
      <c r="E123" s="78">
        <f t="shared" si="22"/>
        <v>1.1256658010095082</v>
      </c>
      <c r="F123" s="79">
        <f t="shared" si="23"/>
        <v>55003711.743311659</v>
      </c>
      <c r="G123" s="69">
        <f t="shared" si="24"/>
        <v>-8801700.4633116573</v>
      </c>
      <c r="H123" s="69">
        <f t="shared" si="25"/>
        <v>8801700.4633116573</v>
      </c>
      <c r="I123" s="69">
        <f t="shared" si="26"/>
        <v>77469931045860.641</v>
      </c>
      <c r="J123" s="70">
        <f t="shared" si="16"/>
        <v>-0.19050470357167656</v>
      </c>
      <c r="K123" s="71">
        <v>121</v>
      </c>
    </row>
    <row r="124" spans="1:11" x14ac:dyDescent="0.2">
      <c r="A124" s="68">
        <v>45053</v>
      </c>
      <c r="B124" s="72">
        <v>55002695.18</v>
      </c>
      <c r="C124" s="69">
        <f t="shared" si="20"/>
        <v>45612092.350211188</v>
      </c>
      <c r="D124" s="69">
        <f t="shared" si="21"/>
        <v>-64881.178726329439</v>
      </c>
      <c r="E124" s="78">
        <f t="shared" si="22"/>
        <v>1.0415128730710679</v>
      </c>
      <c r="F124" s="79">
        <f t="shared" si="23"/>
        <v>47438006.767587833</v>
      </c>
      <c r="G124" s="69">
        <f t="shared" si="24"/>
        <v>7564688.4124121666</v>
      </c>
      <c r="H124" s="69">
        <f t="shared" si="25"/>
        <v>7564688.4124121666</v>
      </c>
      <c r="I124" s="69">
        <f t="shared" si="26"/>
        <v>57224510776882.906</v>
      </c>
      <c r="J124" s="70">
        <f t="shared" si="16"/>
        <v>0.13753304974703909</v>
      </c>
      <c r="K124" s="71">
        <v>122</v>
      </c>
    </row>
    <row r="125" spans="1:11" x14ac:dyDescent="0.2">
      <c r="A125" s="68">
        <v>45060</v>
      </c>
      <c r="B125" s="72">
        <v>45907794.259999998</v>
      </c>
      <c r="C125" s="69">
        <f t="shared" si="20"/>
        <v>48567232.177693248</v>
      </c>
      <c r="D125" s="69">
        <f t="shared" si="21"/>
        <v>-35254.784713379129</v>
      </c>
      <c r="E125" s="78">
        <f t="shared" si="22"/>
        <v>0.93568005979848512</v>
      </c>
      <c r="F125" s="79">
        <f t="shared" si="23"/>
        <v>45410403.50920213</v>
      </c>
      <c r="G125" s="69">
        <f t="shared" si="24"/>
        <v>497390.75079786777</v>
      </c>
      <c r="H125" s="69">
        <f t="shared" si="25"/>
        <v>497390.75079786777</v>
      </c>
      <c r="I125" s="69">
        <f t="shared" si="26"/>
        <v>247397558979.2666</v>
      </c>
      <c r="J125" s="70">
        <f t="shared" si="16"/>
        <v>1.0834559987371255E-2</v>
      </c>
      <c r="K125" s="71">
        <v>123</v>
      </c>
    </row>
    <row r="126" spans="1:11" x14ac:dyDescent="0.2">
      <c r="A126" s="68">
        <v>45067</v>
      </c>
      <c r="B126" s="72">
        <v>46224534.060000002</v>
      </c>
      <c r="C126" s="69">
        <f t="shared" si="20"/>
        <v>48753008.751227453</v>
      </c>
      <c r="D126" s="69">
        <f t="shared" si="21"/>
        <v>-33086.467971476093</v>
      </c>
      <c r="E126" s="78">
        <f t="shared" si="22"/>
        <v>0.94560298615536342</v>
      </c>
      <c r="F126" s="79">
        <f t="shared" si="23"/>
        <v>46069703.996304087</v>
      </c>
      <c r="G126" s="69">
        <f t="shared" si="24"/>
        <v>154830.06369591504</v>
      </c>
      <c r="H126" s="69">
        <f t="shared" si="25"/>
        <v>154830.06369591504</v>
      </c>
      <c r="I126" s="69">
        <f t="shared" si="26"/>
        <v>23972348624.081108</v>
      </c>
      <c r="J126" s="70">
        <f t="shared" si="16"/>
        <v>3.3495213493108175E-3</v>
      </c>
      <c r="K126" s="71">
        <v>124</v>
      </c>
    </row>
    <row r="127" spans="1:11" x14ac:dyDescent="0.2">
      <c r="A127" s="68">
        <v>45074</v>
      </c>
      <c r="B127" s="72">
        <v>44993949.009999998</v>
      </c>
      <c r="C127" s="69">
        <f t="shared" si="20"/>
        <v>48788003.924877197</v>
      </c>
      <c r="D127" s="69">
        <f t="shared" si="21"/>
        <v>-32418.587338999612</v>
      </c>
      <c r="E127" s="78">
        <f t="shared" si="22"/>
        <v>0.98181502766772977</v>
      </c>
      <c r="F127" s="79">
        <f t="shared" si="23"/>
        <v>47868966.367131427</v>
      </c>
      <c r="G127" s="69">
        <f t="shared" si="24"/>
        <v>-2875017.357131429</v>
      </c>
      <c r="H127" s="69">
        <f t="shared" si="25"/>
        <v>2875017.357131429</v>
      </c>
      <c r="I127" s="69">
        <f t="shared" si="26"/>
        <v>8265724803806.9873</v>
      </c>
      <c r="J127" s="70">
        <f t="shared" si="16"/>
        <v>-6.3897866721866328E-2</v>
      </c>
      <c r="K127" s="71">
        <v>125</v>
      </c>
    </row>
    <row r="128" spans="1:11" x14ac:dyDescent="0.2">
      <c r="A128" s="68">
        <v>45081</v>
      </c>
      <c r="B128" s="72">
        <v>47265162.979999997</v>
      </c>
      <c r="C128" s="69">
        <f t="shared" si="20"/>
        <v>47538014.163769156</v>
      </c>
      <c r="D128" s="69">
        <f t="shared" si="21"/>
        <v>-44362.955692311298</v>
      </c>
      <c r="E128" s="78">
        <f t="shared" si="22"/>
        <v>1.0238781648147197</v>
      </c>
      <c r="F128" s="79">
        <f t="shared" si="23"/>
        <v>48627712.439276114</v>
      </c>
      <c r="G128" s="69">
        <f t="shared" si="24"/>
        <v>-1362549.4592761174</v>
      </c>
      <c r="H128" s="69">
        <f t="shared" si="25"/>
        <v>1362549.4592761174</v>
      </c>
      <c r="I128" s="69">
        <f t="shared" si="26"/>
        <v>1856541028973.6399</v>
      </c>
      <c r="J128" s="70">
        <f t="shared" si="16"/>
        <v>-2.8827774482713051E-2</v>
      </c>
      <c r="K128" s="71">
        <v>126</v>
      </c>
    </row>
    <row r="129" spans="1:12" x14ac:dyDescent="0.2">
      <c r="A129" s="68">
        <v>45088</v>
      </c>
      <c r="B129" s="72">
        <v>44921037.329999998</v>
      </c>
      <c r="C129" s="69">
        <f t="shared" si="20"/>
        <v>46940316.95388414</v>
      </c>
      <c r="D129" s="69">
        <f t="shared" si="21"/>
        <v>-49791.162516659424</v>
      </c>
      <c r="E129" s="78">
        <f t="shared" si="22"/>
        <v>1.0027063357155948</v>
      </c>
      <c r="F129" s="79">
        <f t="shared" si="23"/>
        <v>47017427.296039671</v>
      </c>
      <c r="G129" s="69">
        <f t="shared" si="24"/>
        <v>-2096389.9660396725</v>
      </c>
      <c r="H129" s="69">
        <f t="shared" si="25"/>
        <v>2096389.9660396725</v>
      </c>
      <c r="I129" s="69">
        <f t="shared" si="26"/>
        <v>4394850889711.8193</v>
      </c>
      <c r="J129" s="70">
        <f t="shared" si="16"/>
        <v>-4.6668333828516081E-2</v>
      </c>
      <c r="K129" s="71">
        <v>127</v>
      </c>
    </row>
    <row r="130" spans="1:12" x14ac:dyDescent="0.2">
      <c r="A130" s="68">
        <v>45095</v>
      </c>
      <c r="B130" s="72">
        <v>44434677.340000004</v>
      </c>
      <c r="C130" s="69">
        <f t="shared" si="20"/>
        <v>46021201.380339429</v>
      </c>
      <c r="D130" s="69">
        <f t="shared" si="21"/>
        <v>-58319.231517917178</v>
      </c>
      <c r="E130" s="78">
        <f t="shared" si="22"/>
        <v>1.0085867347094912</v>
      </c>
      <c r="F130" s="79">
        <f t="shared" si="23"/>
        <v>46357553.224317051</v>
      </c>
      <c r="G130" s="69">
        <f t="shared" si="24"/>
        <v>-1922875.8843170479</v>
      </c>
      <c r="H130" s="69">
        <f t="shared" si="25"/>
        <v>1922875.8843170479</v>
      </c>
      <c r="I130" s="69">
        <f t="shared" si="26"/>
        <v>3697451666488.0688</v>
      </c>
      <c r="J130" s="70">
        <f t="shared" si="16"/>
        <v>-4.3274217332643465E-2</v>
      </c>
      <c r="K130" s="71">
        <v>128</v>
      </c>
    </row>
    <row r="131" spans="1:12" x14ac:dyDescent="0.2">
      <c r="A131" s="68">
        <v>45102</v>
      </c>
      <c r="B131" s="72">
        <v>42543629.810000002</v>
      </c>
      <c r="C131" s="69">
        <f t="shared" si="20"/>
        <v>45170158.959613994</v>
      </c>
      <c r="D131" s="69">
        <f t="shared" si="21"/>
        <v>-66095.84283895907</v>
      </c>
      <c r="E131" s="78">
        <f t="shared" si="22"/>
        <v>0.97683065807009772</v>
      </c>
      <c r="F131" s="79">
        <f t="shared" si="23"/>
        <v>44059031.655994579</v>
      </c>
      <c r="G131" s="69">
        <f t="shared" si="24"/>
        <v>-1515401.8459945768</v>
      </c>
      <c r="H131" s="69">
        <f t="shared" si="25"/>
        <v>1515401.8459945768</v>
      </c>
      <c r="I131" s="69">
        <f t="shared" si="26"/>
        <v>2296442754843.771</v>
      </c>
      <c r="J131" s="70">
        <f t="shared" si="16"/>
        <v>-3.5619947163943622E-2</v>
      </c>
      <c r="K131" s="71">
        <v>129</v>
      </c>
    </row>
    <row r="132" spans="1:12" x14ac:dyDescent="0.2">
      <c r="A132" s="68">
        <v>45109</v>
      </c>
      <c r="B132" s="72">
        <v>43490977.710000001</v>
      </c>
      <c r="C132" s="69">
        <f t="shared" si="20"/>
        <v>44459015.029077634</v>
      </c>
      <c r="D132" s="69">
        <f t="shared" si="21"/>
        <v>-72423.762003804979</v>
      </c>
      <c r="E132" s="78">
        <f t="shared" si="22"/>
        <v>1.0329745496939211</v>
      </c>
      <c r="F132" s="79">
        <f t="shared" si="23"/>
        <v>45850219.126553722</v>
      </c>
      <c r="G132" s="69">
        <f t="shared" si="24"/>
        <v>-2359241.4165537208</v>
      </c>
      <c r="H132" s="69">
        <f t="shared" si="25"/>
        <v>2359241.4165537208</v>
      </c>
      <c r="I132" s="69">
        <f t="shared" si="26"/>
        <v>5566020061582.4072</v>
      </c>
      <c r="J132" s="70">
        <f t="shared" ref="J132:J174" si="27">(B132-F132)/B132</f>
        <v>-5.4246686112353226E-2</v>
      </c>
      <c r="K132" s="71">
        <v>130</v>
      </c>
    </row>
    <row r="133" spans="1:12" x14ac:dyDescent="0.2">
      <c r="A133" s="68">
        <v>45116</v>
      </c>
      <c r="B133" s="72">
        <v>43563162.520000003</v>
      </c>
      <c r="C133" s="69">
        <f t="shared" si="20"/>
        <v>43436935.251065269</v>
      </c>
      <c r="D133" s="69">
        <f t="shared" si="21"/>
        <v>-81739.883729183755</v>
      </c>
      <c r="E133" s="78">
        <f t="shared" si="22"/>
        <v>1.0456048420591646</v>
      </c>
      <c r="F133" s="79">
        <f t="shared" si="23"/>
        <v>45332402.204507671</v>
      </c>
      <c r="G133" s="69">
        <f t="shared" si="24"/>
        <v>-1769239.684507668</v>
      </c>
      <c r="H133" s="69">
        <f t="shared" si="25"/>
        <v>1769239.684507668</v>
      </c>
      <c r="I133" s="69">
        <f t="shared" si="26"/>
        <v>3130209061236.7925</v>
      </c>
      <c r="J133" s="70">
        <f t="shared" si="27"/>
        <v>-4.0613205795043086E-2</v>
      </c>
      <c r="K133" s="71">
        <v>131</v>
      </c>
    </row>
    <row r="134" spans="1:12" x14ac:dyDescent="0.2">
      <c r="A134" s="68">
        <v>45123</v>
      </c>
      <c r="B134" s="72">
        <v>41326646.119999997</v>
      </c>
      <c r="C134" s="69">
        <f t="shared" si="20"/>
        <v>42651632.924557179</v>
      </c>
      <c r="D134" s="69">
        <f t="shared" si="21"/>
        <v>-88641.828483750593</v>
      </c>
      <c r="E134" s="78">
        <f t="shared" si="22"/>
        <v>1.082036748711497</v>
      </c>
      <c r="F134" s="79">
        <f t="shared" si="23"/>
        <v>46054720.501031689</v>
      </c>
      <c r="G134" s="69">
        <f t="shared" si="24"/>
        <v>-4728074.381031692</v>
      </c>
      <c r="H134" s="69">
        <f t="shared" si="25"/>
        <v>4728074.381031692</v>
      </c>
      <c r="I134" s="69">
        <f t="shared" si="26"/>
        <v>22354687352568.219</v>
      </c>
      <c r="J134" s="70">
        <f t="shared" si="27"/>
        <v>-0.11440740599425377</v>
      </c>
      <c r="K134" s="71">
        <v>132</v>
      </c>
    </row>
    <row r="135" spans="1:12" x14ac:dyDescent="0.2">
      <c r="A135" s="68">
        <v>45130</v>
      </c>
      <c r="B135" s="72">
        <v>38584356.420000002</v>
      </c>
      <c r="C135" s="69">
        <f t="shared" si="20"/>
        <v>40746112.740980186</v>
      </c>
      <c r="D135" s="69">
        <f t="shared" si="21"/>
        <v>-106465.39789301556</v>
      </c>
      <c r="E135" s="78">
        <f t="shared" si="22"/>
        <v>1.0371757632091938</v>
      </c>
      <c r="F135" s="79">
        <f t="shared" si="23"/>
        <v>42150457.249618918</v>
      </c>
      <c r="G135" s="69">
        <f t="shared" si="24"/>
        <v>-3566100.8296189159</v>
      </c>
      <c r="H135" s="69">
        <f t="shared" si="25"/>
        <v>3566100.8296189159</v>
      </c>
      <c r="I135" s="69">
        <f t="shared" si="26"/>
        <v>12717075127008.721</v>
      </c>
      <c r="J135" s="70">
        <f t="shared" si="27"/>
        <v>-9.2423488700991943E-2</v>
      </c>
      <c r="K135" s="71">
        <v>133</v>
      </c>
    </row>
    <row r="136" spans="1:12" x14ac:dyDescent="0.2">
      <c r="A136" s="68">
        <v>45137</v>
      </c>
      <c r="B136" s="72">
        <v>39071786.780000001</v>
      </c>
      <c r="C136" s="69">
        <f t="shared" si="20"/>
        <v>39210013.499701135</v>
      </c>
      <c r="D136" s="69">
        <f t="shared" si="21"/>
        <v>-120490.10018857323</v>
      </c>
      <c r="E136" s="78">
        <f t="shared" si="22"/>
        <v>1.0214557376318416</v>
      </c>
      <c r="F136" s="79">
        <f t="shared" si="23"/>
        <v>39928217.957726233</v>
      </c>
      <c r="G136" s="69">
        <f t="shared" si="24"/>
        <v>-856431.17772623152</v>
      </c>
      <c r="H136" s="69">
        <f t="shared" si="25"/>
        <v>856431.17772623152</v>
      </c>
      <c r="I136" s="69">
        <f t="shared" si="26"/>
        <v>733474362181.53992</v>
      </c>
      <c r="J136" s="70">
        <f t="shared" si="27"/>
        <v>-2.1919426990849061E-2</v>
      </c>
      <c r="K136" s="71">
        <v>134</v>
      </c>
    </row>
    <row r="137" spans="1:12" x14ac:dyDescent="0.2">
      <c r="A137" s="68">
        <v>45144</v>
      </c>
      <c r="B137" s="72">
        <v>37871217.789999999</v>
      </c>
      <c r="C137" s="69">
        <f t="shared" si="20"/>
        <v>38740900.044120483</v>
      </c>
      <c r="D137" s="69">
        <f t="shared" si="21"/>
        <v>-123910.09391303072</v>
      </c>
      <c r="E137" s="78">
        <f t="shared" si="22"/>
        <v>1.0179933538910344</v>
      </c>
      <c r="F137" s="79">
        <f t="shared" si="23"/>
        <v>39311839.116588049</v>
      </c>
      <c r="G137" s="69">
        <f t="shared" si="24"/>
        <v>-1440621.3265880495</v>
      </c>
      <c r="H137" s="69">
        <f t="shared" si="25"/>
        <v>1440621.3265880495</v>
      </c>
      <c r="I137" s="69">
        <f t="shared" si="26"/>
        <v>2075389806620.3118</v>
      </c>
      <c r="J137" s="70">
        <f t="shared" si="27"/>
        <v>-3.8040005330075483E-2</v>
      </c>
      <c r="K137" s="71">
        <v>135</v>
      </c>
    </row>
    <row r="138" spans="1:12" x14ac:dyDescent="0.2">
      <c r="A138" s="68">
        <v>45151</v>
      </c>
      <c r="B138" s="72">
        <v>41180904.850000001</v>
      </c>
      <c r="C138" s="69">
        <f t="shared" si="20"/>
        <v>38028568.550561406</v>
      </c>
      <c r="D138" s="69">
        <f t="shared" si="21"/>
        <v>-129682.50549418466</v>
      </c>
      <c r="E138" s="78">
        <f t="shared" si="22"/>
        <v>1.022365761697688</v>
      </c>
      <c r="F138" s="79">
        <f t="shared" si="23"/>
        <v>38746523.498959027</v>
      </c>
      <c r="G138" s="69">
        <f t="shared" si="24"/>
        <v>2434381.3510409743</v>
      </c>
      <c r="H138" s="69">
        <f t="shared" si="25"/>
        <v>2434381.3510409743</v>
      </c>
      <c r="I138" s="69">
        <f t="shared" si="26"/>
        <v>5926212562296.0791</v>
      </c>
      <c r="J138" s="70">
        <f t="shared" si="27"/>
        <v>5.9114323978749925E-2</v>
      </c>
      <c r="K138" s="71">
        <v>136</v>
      </c>
    </row>
    <row r="139" spans="1:12" x14ac:dyDescent="0.2">
      <c r="A139" s="68">
        <v>45158</v>
      </c>
      <c r="B139" s="72">
        <v>41669514.880000003</v>
      </c>
      <c r="C139" s="69">
        <f t="shared" si="20"/>
        <v>38888955.990443692</v>
      </c>
      <c r="D139" s="69">
        <f t="shared" si="21"/>
        <v>-119969.92328306625</v>
      </c>
      <c r="E139" s="78">
        <f t="shared" si="22"/>
        <v>0.98984568767574921</v>
      </c>
      <c r="F139" s="79">
        <f t="shared" si="23"/>
        <v>38375313.674140155</v>
      </c>
      <c r="G139" s="69">
        <f t="shared" si="24"/>
        <v>3294201.2058598474</v>
      </c>
      <c r="H139" s="69">
        <f t="shared" si="25"/>
        <v>3294201.2058598474</v>
      </c>
      <c r="I139" s="69">
        <f t="shared" si="26"/>
        <v>10851761584688.473</v>
      </c>
      <c r="J139" s="70">
        <f t="shared" si="27"/>
        <v>7.90554249394671E-2</v>
      </c>
      <c r="K139" s="71">
        <v>137</v>
      </c>
    </row>
    <row r="140" spans="1:12" x14ac:dyDescent="0.2">
      <c r="A140" s="68">
        <v>45165</v>
      </c>
      <c r="B140" s="72">
        <v>40375757.299999997</v>
      </c>
      <c r="C140" s="69">
        <f t="shared" si="20"/>
        <v>40152763.323019952</v>
      </c>
      <c r="D140" s="69">
        <f t="shared" si="21"/>
        <v>-106395.07392805528</v>
      </c>
      <c r="E140" s="78">
        <f t="shared" si="22"/>
        <v>1.0081272792949338</v>
      </c>
      <c r="F140" s="79">
        <f t="shared" si="23"/>
        <v>40371836.268600032</v>
      </c>
      <c r="G140" s="69">
        <f t="shared" si="24"/>
        <v>3921.0313999652863</v>
      </c>
      <c r="H140" s="69">
        <f t="shared" si="25"/>
        <v>3921.0313999652863</v>
      </c>
      <c r="I140" s="69">
        <f t="shared" si="26"/>
        <v>15374487.239513732</v>
      </c>
      <c r="J140" s="70">
        <f t="shared" si="27"/>
        <v>9.7113507267027445E-5</v>
      </c>
      <c r="K140" s="71">
        <v>138</v>
      </c>
    </row>
    <row r="141" spans="1:12" x14ac:dyDescent="0.2">
      <c r="A141" s="60">
        <v>45172</v>
      </c>
      <c r="B141" s="73">
        <v>39962736.509999998</v>
      </c>
      <c r="C141" s="63">
        <f t="shared" si="20"/>
        <v>40047985.466901109</v>
      </c>
      <c r="D141" s="63">
        <f t="shared" si="21"/>
        <v>-106379.20902780392</v>
      </c>
      <c r="E141" s="80">
        <f t="shared" si="22"/>
        <v>1.0478608855460694</v>
      </c>
      <c r="F141" s="61">
        <f t="shared" si="23"/>
        <v>41853246.903507546</v>
      </c>
      <c r="G141" s="63">
        <f t="shared" si="24"/>
        <v>-1890510.3935075477</v>
      </c>
      <c r="H141" s="63">
        <f t="shared" si="25"/>
        <v>1890510.3935075477</v>
      </c>
      <c r="I141" s="63">
        <f t="shared" si="26"/>
        <v>3574029547960.063</v>
      </c>
      <c r="J141" s="62">
        <f t="shared" si="27"/>
        <v>-4.7306830277613232E-2</v>
      </c>
      <c r="K141" s="64">
        <v>139</v>
      </c>
      <c r="L141" s="12">
        <f>172-138</f>
        <v>34</v>
      </c>
    </row>
    <row r="142" spans="1:12" x14ac:dyDescent="0.2">
      <c r="A142" s="60">
        <v>45179</v>
      </c>
      <c r="B142" s="73">
        <v>40866792.450000003</v>
      </c>
      <c r="C142" s="63">
        <f t="shared" si="20"/>
        <v>39191437.45082479</v>
      </c>
      <c r="D142" s="63">
        <f t="shared" si="21"/>
        <v>-113738.3620297717</v>
      </c>
      <c r="E142" s="80">
        <f t="shared" si="22"/>
        <v>0.97428108540821023</v>
      </c>
      <c r="F142" s="61">
        <f t="shared" si="23"/>
        <v>38072663.083486639</v>
      </c>
      <c r="G142" s="63">
        <f t="shared" si="24"/>
        <v>2794129.366513364</v>
      </c>
      <c r="H142" s="63">
        <f t="shared" si="25"/>
        <v>2794129.366513364</v>
      </c>
      <c r="I142" s="63">
        <f t="shared" si="26"/>
        <v>7807158916812.373</v>
      </c>
      <c r="J142" s="62">
        <f t="shared" si="27"/>
        <v>6.8371633764307424E-2</v>
      </c>
      <c r="K142" s="64">
        <v>140</v>
      </c>
    </row>
    <row r="143" spans="1:12" x14ac:dyDescent="0.2">
      <c r="A143" s="60">
        <v>45186</v>
      </c>
      <c r="B143" s="73">
        <v>39339169.640000001</v>
      </c>
      <c r="C143" s="63">
        <f t="shared" si="20"/>
        <v>40270164.526198447</v>
      </c>
      <c r="D143" s="63">
        <f t="shared" si="21"/>
        <v>-102040.28084996769</v>
      </c>
      <c r="E143" s="80">
        <f t="shared" si="22"/>
        <v>0.98258432051455336</v>
      </c>
      <c r="F143" s="61">
        <f t="shared" si="23"/>
        <v>39468569.06795989</v>
      </c>
      <c r="G143" s="63">
        <f t="shared" si="24"/>
        <v>-129399.42795988917</v>
      </c>
      <c r="H143" s="63">
        <f t="shared" si="25"/>
        <v>129399.42795988917</v>
      </c>
      <c r="I143" s="63">
        <f t="shared" si="26"/>
        <v>16744211956.346548</v>
      </c>
      <c r="J143" s="62">
        <f t="shared" si="27"/>
        <v>-3.2893278923792043E-3</v>
      </c>
      <c r="K143" s="64">
        <v>141</v>
      </c>
    </row>
    <row r="144" spans="1:12" x14ac:dyDescent="0.2">
      <c r="A144" s="60">
        <v>45193</v>
      </c>
      <c r="B144" s="73">
        <v>39550188.689999998</v>
      </c>
      <c r="C144" s="63">
        <f t="shared" si="20"/>
        <v>40113366.43308039</v>
      </c>
      <c r="D144" s="63">
        <f t="shared" si="21"/>
        <v>-102577.45476968764</v>
      </c>
      <c r="E144" s="80">
        <f t="shared" si="22"/>
        <v>0.94872577001279101</v>
      </c>
      <c r="F144" s="61">
        <f t="shared" si="23"/>
        <v>37959266.582267113</v>
      </c>
      <c r="G144" s="63">
        <f t="shared" si="24"/>
        <v>1590922.1077328846</v>
      </c>
      <c r="H144" s="63">
        <f t="shared" si="25"/>
        <v>1590922.1077328846</v>
      </c>
      <c r="I144" s="63">
        <f t="shared" si="26"/>
        <v>2531033152873.2441</v>
      </c>
      <c r="J144" s="62">
        <f t="shared" si="27"/>
        <v>4.0225398675155719E-2</v>
      </c>
      <c r="K144" s="64">
        <v>142</v>
      </c>
    </row>
    <row r="145" spans="1:11" x14ac:dyDescent="0.2">
      <c r="A145" s="60">
        <v>45200</v>
      </c>
      <c r="B145" s="73">
        <v>40009559.670000002</v>
      </c>
      <c r="C145" s="63">
        <f t="shared" si="20"/>
        <v>40708044.209457651</v>
      </c>
      <c r="D145" s="63">
        <f t="shared" si="21"/>
        <v>-95737.383736047661</v>
      </c>
      <c r="E145" s="80">
        <f t="shared" si="22"/>
        <v>0.93040948862857187</v>
      </c>
      <c r="F145" s="61">
        <f t="shared" si="23"/>
        <v>37786075.625746302</v>
      </c>
      <c r="G145" s="63">
        <f t="shared" si="24"/>
        <v>2223484.0442536995</v>
      </c>
      <c r="H145" s="63">
        <f t="shared" si="25"/>
        <v>2223484.0442536995</v>
      </c>
      <c r="I145" s="63">
        <f t="shared" si="26"/>
        <v>4943881295050.7871</v>
      </c>
      <c r="J145" s="62">
        <f t="shared" si="27"/>
        <v>5.5573819421984638E-2</v>
      </c>
      <c r="K145" s="64">
        <v>143</v>
      </c>
    </row>
    <row r="146" spans="1:11" x14ac:dyDescent="0.2">
      <c r="A146" s="60">
        <v>45207</v>
      </c>
      <c r="B146" s="73">
        <v>39365292.030000001</v>
      </c>
      <c r="C146" s="63">
        <f t="shared" si="20"/>
        <v>41605979.731472641</v>
      </c>
      <c r="D146" s="63">
        <f t="shared" si="21"/>
        <v>-85989.456498040177</v>
      </c>
      <c r="E146" s="80">
        <f t="shared" si="22"/>
        <v>0.9818014197436864</v>
      </c>
      <c r="F146" s="61">
        <f t="shared" si="23"/>
        <v>40764385.399714112</v>
      </c>
      <c r="G146" s="63">
        <f t="shared" si="24"/>
        <v>-1399093.3697141111</v>
      </c>
      <c r="H146" s="63">
        <f t="shared" si="25"/>
        <v>1399093.3697141111</v>
      </c>
      <c r="I146" s="63">
        <f t="shared" si="26"/>
        <v>1957462257177.9863</v>
      </c>
      <c r="J146" s="62">
        <f t="shared" si="27"/>
        <v>-3.554129278776523E-2</v>
      </c>
      <c r="K146" s="64">
        <v>144</v>
      </c>
    </row>
    <row r="147" spans="1:11" x14ac:dyDescent="0.2">
      <c r="A147" s="60">
        <v>45214</v>
      </c>
      <c r="B147" s="73">
        <v>38846932.590000004</v>
      </c>
      <c r="C147" s="63">
        <f t="shared" si="20"/>
        <v>40927465.376691036</v>
      </c>
      <c r="D147" s="63">
        <f t="shared" si="21"/>
        <v>-91802.123384444247</v>
      </c>
      <c r="E147" s="80">
        <f t="shared" si="22"/>
        <v>0.96424418808500945</v>
      </c>
      <c r="F147" s="61">
        <f t="shared" si="23"/>
        <v>39375550.958597466</v>
      </c>
      <c r="G147" s="63">
        <f t="shared" si="24"/>
        <v>-528618.36859746277</v>
      </c>
      <c r="H147" s="63">
        <f t="shared" si="25"/>
        <v>528618.36859746277</v>
      </c>
      <c r="I147" s="63">
        <f t="shared" si="26"/>
        <v>279437379618.64301</v>
      </c>
      <c r="J147" s="62">
        <f t="shared" si="27"/>
        <v>-1.3607724815151557E-2</v>
      </c>
      <c r="K147" s="64">
        <v>145</v>
      </c>
    </row>
    <row r="148" spans="1:11" x14ac:dyDescent="0.2">
      <c r="A148" s="60">
        <v>45221</v>
      </c>
      <c r="B148" s="73">
        <v>39444161.950000003</v>
      </c>
      <c r="C148" s="63">
        <f t="shared" si="20"/>
        <v>40607713.680889979</v>
      </c>
      <c r="D148" s="63">
        <f t="shared" si="21"/>
        <v>-94038.307779723284</v>
      </c>
      <c r="E148" s="80">
        <f t="shared" si="22"/>
        <v>1.0122932584861419</v>
      </c>
      <c r="F148" s="61">
        <f t="shared" si="23"/>
        <v>41011720.456695542</v>
      </c>
      <c r="G148" s="63">
        <f t="shared" si="24"/>
        <v>-1567558.5066955388</v>
      </c>
      <c r="H148" s="63">
        <f t="shared" si="25"/>
        <v>1567558.5066955388</v>
      </c>
      <c r="I148" s="63">
        <f t="shared" si="26"/>
        <v>2457239671913.5474</v>
      </c>
      <c r="J148" s="62">
        <f t="shared" si="27"/>
        <v>-3.9741204507845768E-2</v>
      </c>
      <c r="K148" s="64">
        <v>146</v>
      </c>
    </row>
    <row r="149" spans="1:11" x14ac:dyDescent="0.2">
      <c r="A149" s="60">
        <v>45228</v>
      </c>
      <c r="B149" s="73">
        <v>38161026.280000001</v>
      </c>
      <c r="C149" s="63">
        <f t="shared" si="20"/>
        <v>39869801.242819697</v>
      </c>
      <c r="D149" s="63">
        <f t="shared" si="21"/>
        <v>-100354.71042709531</v>
      </c>
      <c r="E149" s="80">
        <f t="shared" si="22"/>
        <v>0.98715910548663444</v>
      </c>
      <c r="F149" s="61">
        <f t="shared" si="23"/>
        <v>39258771.264615215</v>
      </c>
      <c r="G149" s="63">
        <f t="shared" si="24"/>
        <v>-1097744.9846152142</v>
      </c>
      <c r="H149" s="63">
        <f t="shared" si="25"/>
        <v>1097744.9846152142</v>
      </c>
      <c r="I149" s="63">
        <f t="shared" si="26"/>
        <v>1205044051247.8567</v>
      </c>
      <c r="J149" s="62">
        <f t="shared" si="27"/>
        <v>-2.8766128472559889E-2</v>
      </c>
      <c r="K149" s="64">
        <v>147</v>
      </c>
    </row>
    <row r="150" spans="1:11" x14ac:dyDescent="0.2">
      <c r="A150" s="60">
        <v>45235</v>
      </c>
      <c r="B150" s="73">
        <v>39140644.609999999</v>
      </c>
      <c r="C150" s="63">
        <f t="shared" si="20"/>
        <v>39307067.781398274</v>
      </c>
      <c r="D150" s="63">
        <f t="shared" si="21"/>
        <v>-104890.64412822286</v>
      </c>
      <c r="E150" s="80">
        <f t="shared" si="22"/>
        <v>1.0400770533709334</v>
      </c>
      <c r="F150" s="61">
        <f t="shared" si="23"/>
        <v>40773284.882657208</v>
      </c>
      <c r="G150" s="63">
        <f t="shared" si="24"/>
        <v>-1632640.2726572081</v>
      </c>
      <c r="H150" s="63">
        <f t="shared" si="25"/>
        <v>1632640.2726572081</v>
      </c>
      <c r="I150" s="63">
        <f t="shared" si="26"/>
        <v>2665514259902.2031</v>
      </c>
      <c r="J150" s="62">
        <f t="shared" si="27"/>
        <v>-4.1712145748363245E-2</v>
      </c>
      <c r="K150" s="64">
        <v>148</v>
      </c>
    </row>
    <row r="151" spans="1:11" x14ac:dyDescent="0.2">
      <c r="A151" s="60">
        <v>45242</v>
      </c>
      <c r="B151" s="73">
        <v>38888893.840000004</v>
      </c>
      <c r="C151" s="63">
        <f t="shared" ref="C151:C175" si="28">Alpha*(B150/E150)+(1-Alpha)*(C150+D150)</f>
        <v>38549484.743025787</v>
      </c>
      <c r="D151" s="63">
        <f t="shared" ref="D151:D175" si="29">Beta*(C151-C150)+(1-Beta)*D150</f>
        <v>-111293.55390977229</v>
      </c>
      <c r="E151" s="80">
        <f t="shared" ref="E151:E178" si="30">Gamma*(B99/C99)+(1-Gamma)*E99</f>
        <v>1.0028603689608744</v>
      </c>
      <c r="F151" s="61">
        <f t="shared" si="23"/>
        <v>38548138.59810552</v>
      </c>
      <c r="G151" s="63">
        <f t="shared" si="24"/>
        <v>340755.24189448357</v>
      </c>
      <c r="H151" s="63">
        <f t="shared" si="25"/>
        <v>340755.24189448357</v>
      </c>
      <c r="I151" s="63">
        <f t="shared" si="26"/>
        <v>116114134878.56801</v>
      </c>
      <c r="J151" s="62">
        <f t="shared" si="27"/>
        <v>8.7622765331523134E-3</v>
      </c>
      <c r="K151" s="64">
        <v>149</v>
      </c>
    </row>
    <row r="152" spans="1:11" x14ac:dyDescent="0.2">
      <c r="A152" s="60">
        <v>45249</v>
      </c>
      <c r="B152" s="73">
        <v>35140620.93</v>
      </c>
      <c r="C152" s="63">
        <f t="shared" si="28"/>
        <v>38579472.799943432</v>
      </c>
      <c r="D152" s="63">
        <f t="shared" si="29"/>
        <v>-109907.5818716465</v>
      </c>
      <c r="E152" s="80">
        <f t="shared" si="30"/>
        <v>0.91399215387545363</v>
      </c>
      <c r="F152" s="61">
        <f t="shared" si="23"/>
        <v>35160880.77231767</v>
      </c>
      <c r="G152" s="63">
        <f t="shared" si="24"/>
        <v>-20259.842317670584</v>
      </c>
      <c r="H152" s="63">
        <f t="shared" si="25"/>
        <v>20259.842317670584</v>
      </c>
      <c r="I152" s="63">
        <f t="shared" si="26"/>
        <v>410461210.73687577</v>
      </c>
      <c r="J152" s="62">
        <f t="shared" si="27"/>
        <v>-5.765362643428562E-4</v>
      </c>
      <c r="K152" s="64">
        <v>150</v>
      </c>
    </row>
    <row r="153" spans="1:11" x14ac:dyDescent="0.2">
      <c r="A153" s="60">
        <v>45256</v>
      </c>
      <c r="B153" s="73">
        <v>31702930.109999999</v>
      </c>
      <c r="C153" s="63">
        <f t="shared" si="28"/>
        <v>38460348.48192057</v>
      </c>
      <c r="D153" s="63">
        <f t="shared" si="29"/>
        <v>-109997.99801649051</v>
      </c>
      <c r="E153" s="80">
        <f t="shared" si="30"/>
        <v>0.84718518061394332</v>
      </c>
      <c r="F153" s="61">
        <f t="shared" si="23"/>
        <v>32489848.601314306</v>
      </c>
      <c r="G153" s="63">
        <f t="shared" si="24"/>
        <v>-786918.49131430686</v>
      </c>
      <c r="H153" s="63">
        <f t="shared" si="25"/>
        <v>786918.49131430686</v>
      </c>
      <c r="I153" s="63">
        <f t="shared" si="26"/>
        <v>619240711972.38489</v>
      </c>
      <c r="J153" s="62">
        <f t="shared" si="27"/>
        <v>-2.4821632845416094E-2</v>
      </c>
      <c r="K153" s="64">
        <v>151</v>
      </c>
    </row>
    <row r="154" spans="1:11" x14ac:dyDescent="0.2">
      <c r="A154" s="60">
        <v>45263</v>
      </c>
      <c r="B154" s="73">
        <v>39977224.649999999</v>
      </c>
      <c r="C154" s="63">
        <f t="shared" si="28"/>
        <v>37964130.303756744</v>
      </c>
      <c r="D154" s="63">
        <f t="shared" si="29"/>
        <v>-113786.8164416853</v>
      </c>
      <c r="E154" s="80">
        <f t="shared" si="30"/>
        <v>1.0410348173520383</v>
      </c>
      <c r="F154" s="61">
        <f t="shared" si="23"/>
        <v>39403525.419028945</v>
      </c>
      <c r="G154" s="63">
        <f t="shared" si="24"/>
        <v>573699.23097105324</v>
      </c>
      <c r="H154" s="63">
        <f t="shared" si="25"/>
        <v>573699.23097105324</v>
      </c>
      <c r="I154" s="63">
        <f t="shared" si="26"/>
        <v>329130807616.77789</v>
      </c>
      <c r="J154" s="62">
        <f t="shared" si="27"/>
        <v>1.4350651802214421E-2</v>
      </c>
      <c r="K154" s="64">
        <v>152</v>
      </c>
    </row>
    <row r="155" spans="1:11" x14ac:dyDescent="0.2">
      <c r="A155" s="60">
        <v>45270</v>
      </c>
      <c r="B155" s="73">
        <v>39410826.859999999</v>
      </c>
      <c r="C155" s="63">
        <f t="shared" si="28"/>
        <v>38079484.366301872</v>
      </c>
      <c r="D155" s="63">
        <f t="shared" si="29"/>
        <v>-111538.94533370908</v>
      </c>
      <c r="E155" s="80">
        <f t="shared" si="30"/>
        <v>1.042632992705026</v>
      </c>
      <c r="F155" s="61">
        <f t="shared" si="23"/>
        <v>39586632.561125122</v>
      </c>
      <c r="G155" s="63">
        <f t="shared" si="24"/>
        <v>-175805.70112512261</v>
      </c>
      <c r="H155" s="63">
        <f t="shared" si="25"/>
        <v>175805.70112512261</v>
      </c>
      <c r="I155" s="63">
        <f t="shared" si="26"/>
        <v>30907644548.095936</v>
      </c>
      <c r="J155" s="62">
        <f t="shared" si="27"/>
        <v>-4.4608478210731613E-3</v>
      </c>
      <c r="K155" s="64">
        <v>153</v>
      </c>
    </row>
    <row r="156" spans="1:11" x14ac:dyDescent="0.2">
      <c r="A156" s="60">
        <v>45277</v>
      </c>
      <c r="B156" s="73">
        <v>39211518.560000002</v>
      </c>
      <c r="C156" s="63">
        <f t="shared" si="28"/>
        <v>37897834.599967837</v>
      </c>
      <c r="D156" s="63">
        <f t="shared" si="29"/>
        <v>-112226.73220779274</v>
      </c>
      <c r="E156" s="80">
        <f t="shared" si="30"/>
        <v>0.97964294647431471</v>
      </c>
      <c r="F156" s="61">
        <f t="shared" si="23"/>
        <v>37016404.225895502</v>
      </c>
      <c r="G156" s="63">
        <f t="shared" si="24"/>
        <v>2195114.3341045007</v>
      </c>
      <c r="H156" s="63">
        <f t="shared" si="25"/>
        <v>2195114.3341045007</v>
      </c>
      <c r="I156" s="63">
        <f t="shared" si="26"/>
        <v>4818526939791.0459</v>
      </c>
      <c r="J156" s="62">
        <f t="shared" si="27"/>
        <v>5.5981365035521861E-2</v>
      </c>
      <c r="K156" s="64">
        <v>154</v>
      </c>
    </row>
    <row r="157" spans="1:11" x14ac:dyDescent="0.2">
      <c r="A157" s="60">
        <v>45284</v>
      </c>
      <c r="B157" s="73">
        <v>37947363.740000002</v>
      </c>
      <c r="C157" s="63">
        <f t="shared" si="28"/>
        <v>38717300.994308576</v>
      </c>
      <c r="D157" s="63">
        <f t="shared" si="29"/>
        <v>-103086.82635629691</v>
      </c>
      <c r="E157" s="80">
        <f t="shared" si="30"/>
        <v>0.95146878289200898</v>
      </c>
      <c r="F157" s="61">
        <f t="shared" si="23"/>
        <v>36740219.356712922</v>
      </c>
      <c r="G157" s="63">
        <f t="shared" si="24"/>
        <v>1207144.3832870796</v>
      </c>
      <c r="H157" s="63">
        <f t="shared" si="25"/>
        <v>1207144.3832870796</v>
      </c>
      <c r="I157" s="63">
        <f t="shared" si="26"/>
        <v>1457197562101.5437</v>
      </c>
      <c r="J157" s="62">
        <f t="shared" si="27"/>
        <v>3.1811020959399049E-2</v>
      </c>
      <c r="K157" s="64">
        <v>155</v>
      </c>
    </row>
    <row r="158" spans="1:11" x14ac:dyDescent="0.2">
      <c r="A158" s="60">
        <v>45291</v>
      </c>
      <c r="B158" s="73">
        <v>42127147.219999999</v>
      </c>
      <c r="C158" s="63">
        <f t="shared" si="28"/>
        <v>39141745.471673831</v>
      </c>
      <c r="D158" s="63">
        <f t="shared" si="29"/>
        <v>-97911.746373048052</v>
      </c>
      <c r="E158" s="80">
        <f t="shared" si="30"/>
        <v>1.1895291922151718</v>
      </c>
      <c r="F158" s="61">
        <f t="shared" si="23"/>
        <v>46443779.992240518</v>
      </c>
      <c r="G158" s="63">
        <f t="shared" si="24"/>
        <v>-4316632.7722405195</v>
      </c>
      <c r="H158" s="63">
        <f t="shared" si="25"/>
        <v>4316632.7722405195</v>
      </c>
      <c r="I158" s="63">
        <f t="shared" si="26"/>
        <v>18633318490380.871</v>
      </c>
      <c r="J158" s="62">
        <f t="shared" si="27"/>
        <v>-0.10246677159736998</v>
      </c>
      <c r="K158" s="64">
        <v>156</v>
      </c>
    </row>
    <row r="159" spans="1:11" x14ac:dyDescent="0.2">
      <c r="A159" s="60">
        <v>45299</v>
      </c>
      <c r="B159" s="73">
        <v>44769251.369999997</v>
      </c>
      <c r="C159" s="63">
        <f t="shared" si="28"/>
        <v>37534957.690426596</v>
      </c>
      <c r="D159" s="63">
        <f t="shared" si="29"/>
        <v>-112713.81425071639</v>
      </c>
      <c r="E159" s="80">
        <f t="shared" si="30"/>
        <v>1.1662541236964272</v>
      </c>
      <c r="F159" s="61">
        <f t="shared" si="23"/>
        <v>43643846.238563493</v>
      </c>
      <c r="G159" s="63">
        <f t="shared" si="24"/>
        <v>1125405.1314365044</v>
      </c>
      <c r="H159" s="63">
        <f t="shared" si="25"/>
        <v>1125405.1314365044</v>
      </c>
      <c r="I159" s="63">
        <f t="shared" si="26"/>
        <v>1266536709863.6157</v>
      </c>
      <c r="J159" s="62">
        <f t="shared" si="27"/>
        <v>2.5137903739677933E-2</v>
      </c>
      <c r="K159" s="64">
        <v>157</v>
      </c>
    </row>
    <row r="160" spans="1:11" x14ac:dyDescent="0.2">
      <c r="A160" s="60">
        <v>45305</v>
      </c>
      <c r="B160" s="73">
        <v>48384034.399999999</v>
      </c>
      <c r="C160" s="63">
        <f t="shared" si="28"/>
        <v>37823479.292469174</v>
      </c>
      <c r="D160" s="63">
        <f t="shared" si="29"/>
        <v>-108777.69641888067</v>
      </c>
      <c r="E160" s="80">
        <f t="shared" si="30"/>
        <v>1.1299948769329839</v>
      </c>
      <c r="F160" s="61">
        <f t="shared" si="23"/>
        <v>42617419.588593066</v>
      </c>
      <c r="G160" s="63">
        <f t="shared" si="24"/>
        <v>5766614.8114069328</v>
      </c>
      <c r="H160" s="63">
        <f t="shared" si="25"/>
        <v>5766614.8114069328</v>
      </c>
      <c r="I160" s="63">
        <f t="shared" si="26"/>
        <v>33253846383137.816</v>
      </c>
      <c r="J160" s="62">
        <f t="shared" si="27"/>
        <v>0.1191842491623008</v>
      </c>
      <c r="K160" s="64">
        <v>158</v>
      </c>
    </row>
    <row r="161" spans="1:11" x14ac:dyDescent="0.2">
      <c r="A161" s="60">
        <v>45312</v>
      </c>
      <c r="B161" s="73">
        <v>44225641.32</v>
      </c>
      <c r="C161" s="63">
        <f t="shared" si="28"/>
        <v>39836616.827707879</v>
      </c>
      <c r="D161" s="63">
        <f t="shared" si="29"/>
        <v>-87961.716468431754</v>
      </c>
      <c r="E161" s="80">
        <f t="shared" si="30"/>
        <v>1.0700470846688459</v>
      </c>
      <c r="F161" s="61">
        <f t="shared" si="23"/>
        <v>42532932.521289192</v>
      </c>
      <c r="G161" s="63">
        <f t="shared" si="24"/>
        <v>1692708.7987108082</v>
      </c>
      <c r="H161" s="63">
        <f t="shared" si="25"/>
        <v>1692708.7987108082</v>
      </c>
      <c r="I161" s="63">
        <f t="shared" si="26"/>
        <v>2865263077232.9873</v>
      </c>
      <c r="J161" s="62">
        <f t="shared" si="27"/>
        <v>3.8274375411834233E-2</v>
      </c>
      <c r="K161" s="64">
        <v>159</v>
      </c>
    </row>
    <row r="162" spans="1:11" x14ac:dyDescent="0.2">
      <c r="A162" s="60">
        <v>45319</v>
      </c>
      <c r="B162" s="73">
        <v>47220895.350000001</v>
      </c>
      <c r="C162" s="63">
        <f t="shared" si="28"/>
        <v>40406408.244051568</v>
      </c>
      <c r="D162" s="63">
        <f t="shared" si="29"/>
        <v>-81509.160861737502</v>
      </c>
      <c r="E162" s="80">
        <f t="shared" si="30"/>
        <v>1.0775677715562046</v>
      </c>
      <c r="F162" s="61">
        <f t="shared" si="23"/>
        <v>43452811.643301703</v>
      </c>
      <c r="G162" s="63">
        <f t="shared" si="24"/>
        <v>3768083.7066982985</v>
      </c>
      <c r="H162" s="63">
        <f t="shared" si="25"/>
        <v>3768083.7066982985</v>
      </c>
      <c r="I162" s="63">
        <f t="shared" si="26"/>
        <v>14198454820685.189</v>
      </c>
      <c r="J162" s="62">
        <f t="shared" si="27"/>
        <v>7.9796955961325244E-2</v>
      </c>
      <c r="K162" s="64">
        <v>160</v>
      </c>
    </row>
    <row r="163" spans="1:11" x14ac:dyDescent="0.2">
      <c r="A163" s="60">
        <v>45326</v>
      </c>
      <c r="B163" s="73">
        <v>48357164.799999997</v>
      </c>
      <c r="C163" s="63">
        <f t="shared" si="28"/>
        <v>41778882.689347044</v>
      </c>
      <c r="D163" s="63">
        <f t="shared" si="29"/>
        <v>-67245.587490615202</v>
      </c>
      <c r="E163" s="80">
        <f t="shared" si="30"/>
        <v>1.1149496081787038</v>
      </c>
      <c r="F163" s="61">
        <f t="shared" si="23"/>
        <v>46506373.443207107</v>
      </c>
      <c r="G163" s="63">
        <f t="shared" si="24"/>
        <v>1850791.3567928895</v>
      </c>
      <c r="H163" s="63">
        <f t="shared" si="25"/>
        <v>1850791.3567928895</v>
      </c>
      <c r="I163" s="63">
        <f t="shared" si="26"/>
        <v>3425428646379.2651</v>
      </c>
      <c r="J163" s="62">
        <f t="shared" si="27"/>
        <v>3.8273363718645675E-2</v>
      </c>
      <c r="K163" s="64">
        <v>161</v>
      </c>
    </row>
    <row r="164" spans="1:11" x14ac:dyDescent="0.2">
      <c r="A164" s="60">
        <v>45333</v>
      </c>
      <c r="B164" s="73">
        <v>58320595.020000003</v>
      </c>
      <c r="C164" s="63">
        <f t="shared" si="28"/>
        <v>42401854.313883193</v>
      </c>
      <c r="D164" s="63">
        <f t="shared" si="29"/>
        <v>-60474.559396443743</v>
      </c>
      <c r="E164" s="80">
        <f t="shared" si="30"/>
        <v>1.2819541427827625</v>
      </c>
      <c r="F164" s="61">
        <f t="shared" si="23"/>
        <v>54279707.187402472</v>
      </c>
      <c r="G164" s="63">
        <f t="shared" si="24"/>
        <v>4040887.8325975314</v>
      </c>
      <c r="H164" s="63">
        <f t="shared" si="25"/>
        <v>4040887.8325975314</v>
      </c>
      <c r="I164" s="63">
        <f t="shared" si="26"/>
        <v>16328774475634.775</v>
      </c>
      <c r="J164" s="62">
        <f t="shared" si="27"/>
        <v>6.9287493229652081E-2</v>
      </c>
      <c r="K164" s="64">
        <v>162</v>
      </c>
    </row>
    <row r="165" spans="1:11" x14ac:dyDescent="0.2">
      <c r="A165" s="60">
        <v>45340</v>
      </c>
      <c r="B165" s="73">
        <v>45836075.799999997</v>
      </c>
      <c r="C165" s="63">
        <f t="shared" si="28"/>
        <v>43652033.180136308</v>
      </c>
      <c r="D165" s="63">
        <f t="shared" si="29"/>
        <v>-47617.054523831095</v>
      </c>
      <c r="E165" s="80">
        <f t="shared" si="30"/>
        <v>0.98953765118047998</v>
      </c>
      <c r="F165" s="61">
        <f t="shared" si="23"/>
        <v>43148211.514034815</v>
      </c>
      <c r="G165" s="63">
        <f t="shared" si="24"/>
        <v>2687864.2859651819</v>
      </c>
      <c r="H165" s="63">
        <f t="shared" si="25"/>
        <v>2687864.2859651819</v>
      </c>
      <c r="I165" s="63">
        <f t="shared" si="26"/>
        <v>7224614419767.1172</v>
      </c>
      <c r="J165" s="62">
        <f t="shared" si="27"/>
        <v>5.8640802884028349E-2</v>
      </c>
      <c r="K165" s="64">
        <v>163</v>
      </c>
    </row>
    <row r="166" spans="1:11" x14ac:dyDescent="0.2">
      <c r="A166" s="60">
        <v>45347</v>
      </c>
      <c r="B166" s="73">
        <v>46400679.799999997</v>
      </c>
      <c r="C166" s="63">
        <f t="shared" si="28"/>
        <v>44733844.190098241</v>
      </c>
      <c r="D166" s="63">
        <f t="shared" si="29"/>
        <v>-36537.369720661809</v>
      </c>
      <c r="E166" s="80">
        <f t="shared" si="30"/>
        <v>0.96495468663721184</v>
      </c>
      <c r="F166" s="61">
        <f t="shared" si="23"/>
        <v>43130875.696384758</v>
      </c>
      <c r="G166" s="63">
        <f t="shared" si="24"/>
        <v>3269804.1036152393</v>
      </c>
      <c r="H166" s="63">
        <f t="shared" si="25"/>
        <v>3269804.1036152393</v>
      </c>
      <c r="I166" s="63">
        <f t="shared" si="26"/>
        <v>10691618876019.059</v>
      </c>
      <c r="J166" s="62">
        <f t="shared" si="27"/>
        <v>7.0468883596296786E-2</v>
      </c>
      <c r="K166" s="64">
        <v>164</v>
      </c>
    </row>
    <row r="167" spans="1:11" x14ac:dyDescent="0.2">
      <c r="A167" s="60">
        <v>45354</v>
      </c>
      <c r="B167" s="73">
        <v>47852195.270000003</v>
      </c>
      <c r="C167" s="63">
        <f t="shared" si="28"/>
        <v>46106265.888297334</v>
      </c>
      <c r="D167" s="63">
        <f t="shared" si="29"/>
        <v>-22715.486889880747</v>
      </c>
      <c r="E167" s="80">
        <f t="shared" si="30"/>
        <v>0.9745899558543063</v>
      </c>
      <c r="F167" s="61">
        <f t="shared" si="23"/>
        <v>44912565.351317383</v>
      </c>
      <c r="G167" s="63">
        <f t="shared" si="24"/>
        <v>2939629.9186826199</v>
      </c>
      <c r="H167" s="63">
        <f t="shared" si="25"/>
        <v>2939629.9186826199</v>
      </c>
      <c r="I167" s="63">
        <f t="shared" si="26"/>
        <v>8641424058813.9863</v>
      </c>
      <c r="J167" s="62">
        <f t="shared" si="27"/>
        <v>6.1431453710663164E-2</v>
      </c>
      <c r="K167" s="64">
        <v>165</v>
      </c>
    </row>
    <row r="168" spans="1:11" x14ac:dyDescent="0.2">
      <c r="A168" s="60">
        <v>45361</v>
      </c>
      <c r="B168" s="73">
        <v>48516326.060000002</v>
      </c>
      <c r="C168" s="63">
        <f t="shared" si="28"/>
        <v>47337714.282634154</v>
      </c>
      <c r="D168" s="63">
        <f t="shared" si="29"/>
        <v>-10412.144222512108</v>
      </c>
      <c r="E168" s="80">
        <f t="shared" si="30"/>
        <v>0.97399996592453097</v>
      </c>
      <c r="F168" s="61">
        <f t="shared" si="23"/>
        <v>46096790.670112923</v>
      </c>
      <c r="G168" s="63">
        <f t="shared" si="24"/>
        <v>2419535.3898870796</v>
      </c>
      <c r="H168" s="63">
        <f t="shared" si="25"/>
        <v>2419535.3898870796</v>
      </c>
      <c r="I168" s="63">
        <f t="shared" si="26"/>
        <v>5854151502916.0225</v>
      </c>
      <c r="J168" s="62">
        <f t="shared" si="27"/>
        <v>4.9870540215572939E-2</v>
      </c>
      <c r="K168" s="64">
        <v>166</v>
      </c>
    </row>
    <row r="169" spans="1:11" x14ac:dyDescent="0.2">
      <c r="A169" s="60">
        <v>45368</v>
      </c>
      <c r="B169" s="73">
        <v>47989422.399999999</v>
      </c>
      <c r="C169" s="63">
        <f t="shared" si="28"/>
        <v>48360198.146122977</v>
      </c>
      <c r="D169" s="63">
        <f t="shared" si="29"/>
        <v>-279.43851087911025</v>
      </c>
      <c r="E169" s="80">
        <f t="shared" si="30"/>
        <v>0.97440470768956211</v>
      </c>
      <c r="F169" s="61">
        <f t="shared" si="23"/>
        <v>47122132.452181749</v>
      </c>
      <c r="G169" s="63">
        <f t="shared" si="24"/>
        <v>867289.94781824946</v>
      </c>
      <c r="H169" s="63">
        <f t="shared" si="25"/>
        <v>867289.94781824946</v>
      </c>
      <c r="I169" s="63">
        <f t="shared" si="26"/>
        <v>752191853586.58191</v>
      </c>
      <c r="J169" s="62">
        <f t="shared" si="27"/>
        <v>1.8072523161234161E-2</v>
      </c>
      <c r="K169" s="64">
        <v>167</v>
      </c>
    </row>
    <row r="170" spans="1:11" x14ac:dyDescent="0.2">
      <c r="A170" s="60">
        <v>45375</v>
      </c>
      <c r="B170" s="73">
        <v>46853491.219999999</v>
      </c>
      <c r="C170" s="63">
        <f t="shared" si="28"/>
        <v>48730009.688081801</v>
      </c>
      <c r="D170" s="63">
        <f t="shared" si="29"/>
        <v>3351.1525298766969</v>
      </c>
      <c r="E170" s="80">
        <f t="shared" si="30"/>
        <v>0.99367870885406795</v>
      </c>
      <c r="F170" s="61">
        <f t="shared" si="23"/>
        <v>48425303.078218408</v>
      </c>
      <c r="G170" s="63">
        <f>B170-F170</f>
        <v>-1571811.8582184091</v>
      </c>
      <c r="H170" s="63">
        <f t="shared" si="25"/>
        <v>1571811.8582184091</v>
      </c>
      <c r="I170" s="63">
        <f t="shared" si="26"/>
        <v>2470592517636.0083</v>
      </c>
      <c r="J170" s="62">
        <f t="shared" si="27"/>
        <v>-3.354737965710998E-2</v>
      </c>
      <c r="K170" s="64">
        <v>168</v>
      </c>
    </row>
    <row r="171" spans="1:11" x14ac:dyDescent="0.2">
      <c r="A171" s="60">
        <v>45382</v>
      </c>
      <c r="B171" s="73">
        <v>44575365.909999996</v>
      </c>
      <c r="C171" s="63">
        <f t="shared" si="28"/>
        <v>48075645.247647204</v>
      </c>
      <c r="D171" s="63">
        <f t="shared" si="29"/>
        <v>-3101.0348110620148</v>
      </c>
      <c r="E171" s="80">
        <f t="shared" si="30"/>
        <v>0.96947099979062534</v>
      </c>
      <c r="F171" s="61">
        <f t="shared" si="23"/>
        <v>46604937.500497289</v>
      </c>
      <c r="G171" s="63">
        <f t="shared" si="24"/>
        <v>-2029571.5904972926</v>
      </c>
      <c r="H171" s="63">
        <f t="shared" si="25"/>
        <v>2029571.5904972926</v>
      </c>
      <c r="I171" s="63">
        <f t="shared" si="26"/>
        <v>4119160840953.71</v>
      </c>
      <c r="J171" s="62">
        <f t="shared" si="27"/>
        <v>-4.5531237917263635E-2</v>
      </c>
      <c r="K171" s="64">
        <v>169</v>
      </c>
    </row>
    <row r="172" spans="1:11" x14ac:dyDescent="0.2">
      <c r="A172" s="60">
        <v>45389</v>
      </c>
      <c r="B172" s="73">
        <v>47342018.090000004</v>
      </c>
      <c r="C172" s="63">
        <f t="shared" si="28"/>
        <v>47202075.603226021</v>
      </c>
      <c r="D172" s="63">
        <f t="shared" si="29"/>
        <v>-11640.328395841458</v>
      </c>
      <c r="E172" s="80">
        <f t="shared" si="30"/>
        <v>0.95982307495468389</v>
      </c>
      <c r="F172" s="61">
        <f t="shared" si="23"/>
        <v>45294468.69393748</v>
      </c>
      <c r="G172" s="63">
        <f t="shared" si="24"/>
        <v>2047549.3960625231</v>
      </c>
      <c r="H172" s="63">
        <f t="shared" si="25"/>
        <v>2047549.3960625231</v>
      </c>
      <c r="I172" s="63">
        <f t="shared" si="26"/>
        <v>4192458529316.0034</v>
      </c>
      <c r="J172" s="62">
        <f t="shared" si="27"/>
        <v>4.3250150261233251E-2</v>
      </c>
      <c r="K172" s="64">
        <v>170</v>
      </c>
    </row>
    <row r="173" spans="1:11" x14ac:dyDescent="0.2">
      <c r="A173" s="60">
        <v>45396</v>
      </c>
      <c r="B173" s="73">
        <v>47370306.07</v>
      </c>
      <c r="C173" s="63">
        <f t="shared" si="28"/>
        <v>48077441.694161601</v>
      </c>
      <c r="D173" s="63">
        <f t="shared" si="29"/>
        <v>-2938.7989637261035</v>
      </c>
      <c r="E173" s="80">
        <f t="shared" si="30"/>
        <v>0.94648793414114329</v>
      </c>
      <c r="F173" s="61">
        <f t="shared" si="23"/>
        <v>45501936.930138253</v>
      </c>
      <c r="G173" s="63">
        <f t="shared" si="24"/>
        <v>1868369.1398617476</v>
      </c>
      <c r="H173" s="63">
        <f t="shared" si="25"/>
        <v>1868369.1398617476</v>
      </c>
      <c r="I173" s="63">
        <f t="shared" si="26"/>
        <v>3490803242787.7266</v>
      </c>
      <c r="J173" s="62">
        <f t="shared" si="27"/>
        <v>3.9441778930050041E-2</v>
      </c>
      <c r="K173" s="64">
        <v>171</v>
      </c>
    </row>
    <row r="174" spans="1:11" x14ac:dyDescent="0.2">
      <c r="A174" s="60">
        <v>45403</v>
      </c>
      <c r="B174" s="73">
        <v>47610874.490000002</v>
      </c>
      <c r="C174" s="63">
        <f t="shared" si="28"/>
        <v>48895291.210343331</v>
      </c>
      <c r="D174" s="63">
        <f t="shared" si="29"/>
        <v>5113.1311307121105</v>
      </c>
      <c r="E174" s="80">
        <f t="shared" si="30"/>
        <v>0.94795607500583656</v>
      </c>
      <c r="F174" s="61">
        <f t="shared" si="23"/>
        <v>46355435.365742102</v>
      </c>
      <c r="G174" s="63">
        <f>B174-F174</f>
        <v>1255439.1242578998</v>
      </c>
      <c r="H174" s="63">
        <f t="shared" si="25"/>
        <v>1255439.1242578998</v>
      </c>
      <c r="I174" s="63">
        <f t="shared" si="26"/>
        <v>1576127394717.4424</v>
      </c>
      <c r="J174" s="62">
        <f t="shared" si="27"/>
        <v>2.6368747428102527E-2</v>
      </c>
      <c r="K174" s="64">
        <v>172</v>
      </c>
    </row>
    <row r="175" spans="1:11" x14ac:dyDescent="0.2">
      <c r="A175" s="55">
        <v>45410</v>
      </c>
      <c r="B175" s="28"/>
      <c r="C175" s="59">
        <f t="shared" si="28"/>
        <v>49451073.820638105</v>
      </c>
      <c r="D175" s="59">
        <f t="shared" si="29"/>
        <v>10515.196522668826</v>
      </c>
      <c r="E175" s="77">
        <f t="shared" si="30"/>
        <v>1.0286349329542348</v>
      </c>
      <c r="F175" s="36">
        <f>(C175+D175)*E175</f>
        <v>50877918.302477092</v>
      </c>
      <c r="G175" s="59">
        <f>B175-F175</f>
        <v>-50877918.302477092</v>
      </c>
      <c r="H175" s="59">
        <f t="shared" si="25"/>
        <v>50877918.302477092</v>
      </c>
      <c r="I175" s="59">
        <f>H175*H175</f>
        <v>2588562570793533.5</v>
      </c>
      <c r="J175" s="1"/>
      <c r="K175" s="7">
        <v>173</v>
      </c>
    </row>
    <row r="176" spans="1:11" x14ac:dyDescent="0.2">
      <c r="A176" s="55">
        <v>45417</v>
      </c>
      <c r="B176" s="28"/>
      <c r="C176" s="59"/>
      <c r="D176" s="59"/>
      <c r="E176" s="77">
        <f t="shared" si="30"/>
        <v>1.1297405237081994</v>
      </c>
      <c r="F176" s="36">
        <f>($C$175+(2*$D$175))*E176</f>
        <v>55890640.923313349</v>
      </c>
      <c r="G176" s="59">
        <f>B176-F176</f>
        <v>-55890640.923313349</v>
      </c>
      <c r="H176" s="59">
        <f t="shared" si="25"/>
        <v>55890640.923313349</v>
      </c>
      <c r="I176" s="59">
        <f t="shared" si="26"/>
        <v>3123763742818749</v>
      </c>
      <c r="K176" s="7">
        <v>174</v>
      </c>
    </row>
    <row r="177" spans="1:11" x14ac:dyDescent="0.2">
      <c r="A177" s="55">
        <v>45424</v>
      </c>
      <c r="B177" s="28"/>
      <c r="C177" s="59"/>
      <c r="D177" s="59"/>
      <c r="E177" s="77">
        <f t="shared" si="30"/>
        <v>0.94081272319071907</v>
      </c>
      <c r="F177" s="36">
        <f>($C$175+(3*$D$175))*E177</f>
        <v>46553877.917925946</v>
      </c>
      <c r="G177" s="59">
        <f t="shared" si="24"/>
        <v>-46553877.917925946</v>
      </c>
      <c r="H177" s="59">
        <f t="shared" si="25"/>
        <v>46553877.917925946</v>
      </c>
      <c r="I177" s="59">
        <f t="shared" si="26"/>
        <v>2167263549197153</v>
      </c>
      <c r="K177" s="7">
        <v>175</v>
      </c>
    </row>
    <row r="178" spans="1:11" x14ac:dyDescent="0.2">
      <c r="A178" s="55">
        <v>45431</v>
      </c>
      <c r="B178" s="28"/>
      <c r="C178" s="59"/>
      <c r="D178" s="59"/>
      <c r="E178" s="77">
        <f t="shared" si="30"/>
        <v>0.94696320483281382</v>
      </c>
      <c r="F178" s="36">
        <f>($C$175+(4*$D$175))*E178</f>
        <v>46868177.36440973</v>
      </c>
      <c r="G178" s="59">
        <f t="shared" si="24"/>
        <v>-46868177.36440973</v>
      </c>
      <c r="H178" s="59">
        <f t="shared" si="25"/>
        <v>46868177.36440973</v>
      </c>
      <c r="I178" s="59">
        <f t="shared" si="26"/>
        <v>2196626049461768.5</v>
      </c>
      <c r="K178" s="7">
        <v>176</v>
      </c>
    </row>
    <row r="179" spans="1:11" x14ac:dyDescent="0.2">
      <c r="E179" s="74"/>
    </row>
    <row r="180" spans="1:11" x14ac:dyDescent="0.2">
      <c r="E180" s="74"/>
    </row>
    <row r="181" spans="1:11" x14ac:dyDescent="0.2">
      <c r="E181" s="74"/>
    </row>
    <row r="182" spans="1:11" x14ac:dyDescent="0.2">
      <c r="E182" s="74"/>
    </row>
    <row r="183" spans="1:11" x14ac:dyDescent="0.2">
      <c r="E183" s="74"/>
    </row>
    <row r="184" spans="1:11" x14ac:dyDescent="0.2">
      <c r="E184" s="74"/>
    </row>
    <row r="185" spans="1:11" x14ac:dyDescent="0.2">
      <c r="E185" s="74"/>
    </row>
    <row r="186" spans="1:11" x14ac:dyDescent="0.2">
      <c r="E186" s="74"/>
    </row>
    <row r="187" spans="1:11" x14ac:dyDescent="0.2">
      <c r="E187" s="74"/>
    </row>
    <row r="188" spans="1:11" x14ac:dyDescent="0.2">
      <c r="E188" s="74"/>
    </row>
    <row r="189" spans="1:11" x14ac:dyDescent="0.2">
      <c r="E189" s="74"/>
    </row>
    <row r="190" spans="1:11" x14ac:dyDescent="0.2">
      <c r="E190" s="74"/>
    </row>
    <row r="191" spans="1:11" x14ac:dyDescent="0.2">
      <c r="E191" s="74"/>
    </row>
    <row r="192" spans="1:11" x14ac:dyDescent="0.2">
      <c r="E192" s="74"/>
    </row>
  </sheetData>
  <mergeCells count="15">
    <mergeCell ref="M38:O38"/>
    <mergeCell ref="M33:O33"/>
    <mergeCell ref="M34:O34"/>
    <mergeCell ref="M35:O35"/>
    <mergeCell ref="M36:O36"/>
    <mergeCell ref="M37:O37"/>
    <mergeCell ref="M50:O50"/>
    <mergeCell ref="M51:N51"/>
    <mergeCell ref="M52:N52"/>
    <mergeCell ref="M40:O40"/>
    <mergeCell ref="M41:O41"/>
    <mergeCell ref="M42:O42"/>
    <mergeCell ref="M46:O46"/>
    <mergeCell ref="M47:O47"/>
    <mergeCell ref="M49:O4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Final output</vt:lpstr>
      <vt:lpstr>Triple Exponential Smoothing</vt:lpstr>
      <vt:lpstr>'Triple Exponential Smoothing'!Alpha</vt:lpstr>
      <vt:lpstr>'Triple Exponential Smoothing'!Beta</vt:lpstr>
      <vt:lpstr>'Triple Exponential Smoothing'!Gamma</vt:lpstr>
      <vt:lpstr>'Triple Exponential Smoothing'!k</vt:lpstr>
      <vt:lpstr>'Triple Exponential Smoothing'!M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Hass Avocado Board</dc:creator>
  <cp:keywords/>
  <dc:description/>
  <cp:lastModifiedBy>Balasuriya Lekamlage Don, Viraj Dhanusha</cp:lastModifiedBy>
  <cp:revision/>
  <dcterms:created xsi:type="dcterms:W3CDTF">2017-09-13T23:18:33Z</dcterms:created>
  <dcterms:modified xsi:type="dcterms:W3CDTF">2025-03-10T15:10:19Z</dcterms:modified>
  <cp:category/>
  <cp:contentStatus/>
</cp:coreProperties>
</file>