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8" windowWidth="15168" windowHeight="11712"/>
  </bookViews>
  <sheets>
    <sheet name="Pressure -&gt; Altitude" sheetId="1" r:id="rId1"/>
    <sheet name="Altitude -&gt;Pressure" sheetId="2" r:id="rId2"/>
    <sheet name="Lift Calculator" sheetId="3" r:id="rId3"/>
    <sheet name="Graphs" sheetId="4" r:id="rId4"/>
  </sheets>
  <calcPr calcId="125725"/>
</workbook>
</file>

<file path=xl/calcChain.xml><?xml version="1.0" encoding="utf-8"?>
<calcChain xmlns="http://schemas.openxmlformats.org/spreadsheetml/2006/main">
  <c r="H27" i="1"/>
  <c r="C27"/>
  <c r="E27"/>
  <c r="F27" s="1"/>
  <c r="D27"/>
  <c r="B27"/>
  <c r="E26"/>
  <c r="F26" s="1"/>
  <c r="D26"/>
  <c r="B26"/>
  <c r="C26" s="1"/>
  <c r="B23"/>
  <c r="C23" s="1"/>
  <c r="D23"/>
  <c r="E23"/>
  <c r="F23" s="1"/>
  <c r="G24" i="3"/>
  <c r="H24" s="1"/>
  <c r="G25"/>
  <c r="I25" s="1"/>
  <c r="J25" s="1"/>
  <c r="H25"/>
  <c r="G26"/>
  <c r="H26" s="1"/>
  <c r="G27"/>
  <c r="H27"/>
  <c r="F26"/>
  <c r="I26" s="1"/>
  <c r="J26" s="1"/>
  <c r="F25"/>
  <c r="F24"/>
  <c r="I24" s="1"/>
  <c r="J24" s="1"/>
  <c r="B69" i="2"/>
  <c r="C69"/>
  <c r="F69" s="1"/>
  <c r="B70"/>
  <c r="C70"/>
  <c r="F70" s="1"/>
  <c r="B71"/>
  <c r="C71"/>
  <c r="F71" s="1"/>
  <c r="B72"/>
  <c r="C72"/>
  <c r="F72" s="1"/>
  <c r="B42"/>
  <c r="C42"/>
  <c r="F42" s="1"/>
  <c r="B43"/>
  <c r="C43"/>
  <c r="F43" s="1"/>
  <c r="B44"/>
  <c r="C44"/>
  <c r="F44" s="1"/>
  <c r="B45"/>
  <c r="C45"/>
  <c r="F45" s="1"/>
  <c r="B46"/>
  <c r="C46"/>
  <c r="D46" s="1"/>
  <c r="E46" s="1"/>
  <c r="B47"/>
  <c r="C47"/>
  <c r="D47" s="1"/>
  <c r="E47" s="1"/>
  <c r="B48"/>
  <c r="C48"/>
  <c r="D48" s="1"/>
  <c r="E48" s="1"/>
  <c r="B49"/>
  <c r="C49"/>
  <c r="F49" s="1"/>
  <c r="B50"/>
  <c r="C50"/>
  <c r="D50" s="1"/>
  <c r="E50" s="1"/>
  <c r="B51"/>
  <c r="C51"/>
  <c r="F51" s="1"/>
  <c r="B52"/>
  <c r="C52"/>
  <c r="F52" s="1"/>
  <c r="D52"/>
  <c r="E52" s="1"/>
  <c r="B53"/>
  <c r="C53"/>
  <c r="F53" s="1"/>
  <c r="B54"/>
  <c r="C54"/>
  <c r="D54" s="1"/>
  <c r="E54" s="1"/>
  <c r="B55"/>
  <c r="C55"/>
  <c r="D55" s="1"/>
  <c r="E55" s="1"/>
  <c r="B56"/>
  <c r="C56"/>
  <c r="D56" s="1"/>
  <c r="E56" s="1"/>
  <c r="B57"/>
  <c r="C57"/>
  <c r="F57" s="1"/>
  <c r="B58"/>
  <c r="C58"/>
  <c r="F58" s="1"/>
  <c r="B59"/>
  <c r="C59"/>
  <c r="F59" s="1"/>
  <c r="B60"/>
  <c r="C60"/>
  <c r="F60" s="1"/>
  <c r="B61"/>
  <c r="C61"/>
  <c r="F61" s="1"/>
  <c r="B62"/>
  <c r="C62"/>
  <c r="D62" s="1"/>
  <c r="E62" s="1"/>
  <c r="F62"/>
  <c r="B63"/>
  <c r="C63"/>
  <c r="D63" s="1"/>
  <c r="E63" s="1"/>
  <c r="B64"/>
  <c r="C64"/>
  <c r="D64"/>
  <c r="E64" s="1"/>
  <c r="F64"/>
  <c r="B65"/>
  <c r="C65"/>
  <c r="F65" s="1"/>
  <c r="B66"/>
  <c r="C66"/>
  <c r="D66" s="1"/>
  <c r="E66" s="1"/>
  <c r="B67"/>
  <c r="C67"/>
  <c r="F67" s="1"/>
  <c r="B68"/>
  <c r="C68"/>
  <c r="F68" s="1"/>
  <c r="F22" i="3"/>
  <c r="G22"/>
  <c r="I22" s="1"/>
  <c r="J22" s="1"/>
  <c r="F23"/>
  <c r="G23"/>
  <c r="H23" s="1"/>
  <c r="C14"/>
  <c r="G21"/>
  <c r="H21" s="1"/>
  <c r="G20"/>
  <c r="G4"/>
  <c r="H4" s="1"/>
  <c r="G5"/>
  <c r="H5" s="1"/>
  <c r="G6"/>
  <c r="H6" s="1"/>
  <c r="G7"/>
  <c r="H7" s="1"/>
  <c r="G8"/>
  <c r="I8" s="1"/>
  <c r="J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I16" s="1"/>
  <c r="J16" s="1"/>
  <c r="G17"/>
  <c r="H17" s="1"/>
  <c r="G18"/>
  <c r="H18" s="1"/>
  <c r="G19"/>
  <c r="H19" s="1"/>
  <c r="H20"/>
  <c r="G3"/>
  <c r="H3" s="1"/>
  <c r="C3" i="2"/>
  <c r="D3" s="1"/>
  <c r="E3" s="1"/>
  <c r="C4"/>
  <c r="F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F10" s="1"/>
  <c r="C11"/>
  <c r="D11" s="1"/>
  <c r="E11" s="1"/>
  <c r="C12"/>
  <c r="F12" s="1"/>
  <c r="D12"/>
  <c r="E12" s="1"/>
  <c r="C13"/>
  <c r="D13" s="1"/>
  <c r="E13" s="1"/>
  <c r="C14"/>
  <c r="D14" s="1"/>
  <c r="E14" s="1"/>
  <c r="C15"/>
  <c r="D15" s="1"/>
  <c r="E15" s="1"/>
  <c r="C16"/>
  <c r="F16" s="1"/>
  <c r="C17"/>
  <c r="D17" s="1"/>
  <c r="E17" s="1"/>
  <c r="C18"/>
  <c r="F18" s="1"/>
  <c r="C19"/>
  <c r="D19" s="1"/>
  <c r="E19" s="1"/>
  <c r="C20"/>
  <c r="F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F26" s="1"/>
  <c r="C27"/>
  <c r="D27" s="1"/>
  <c r="E27" s="1"/>
  <c r="C28"/>
  <c r="F28" s="1"/>
  <c r="C29"/>
  <c r="D29" s="1"/>
  <c r="E29" s="1"/>
  <c r="C30"/>
  <c r="F30" s="1"/>
  <c r="C31"/>
  <c r="D31" s="1"/>
  <c r="E31" s="1"/>
  <c r="C32"/>
  <c r="D32" s="1"/>
  <c r="E32" s="1"/>
  <c r="C33"/>
  <c r="D33" s="1"/>
  <c r="E33" s="1"/>
  <c r="C34"/>
  <c r="F34" s="1"/>
  <c r="C35"/>
  <c r="D35" s="1"/>
  <c r="E35" s="1"/>
  <c r="C36"/>
  <c r="F36" s="1"/>
  <c r="C37"/>
  <c r="D37" s="1"/>
  <c r="E37" s="1"/>
  <c r="C38"/>
  <c r="F38" s="1"/>
  <c r="C39"/>
  <c r="D39" s="1"/>
  <c r="E39" s="1"/>
  <c r="C40"/>
  <c r="F40" s="1"/>
  <c r="C41"/>
  <c r="D41" s="1"/>
  <c r="E41" s="1"/>
  <c r="C2"/>
  <c r="F2" s="1"/>
  <c r="F6"/>
  <c r="F7"/>
  <c r="F13"/>
  <c r="F14"/>
  <c r="F21"/>
  <c r="F27"/>
  <c r="F2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60" i="4"/>
  <c r="C13" i="3"/>
  <c r="C15"/>
  <c r="C16"/>
  <c r="F27"/>
  <c r="I27" s="1"/>
  <c r="J27" s="1"/>
  <c r="F20"/>
  <c r="I20" s="1"/>
  <c r="J20" s="1"/>
  <c r="F21"/>
  <c r="I21" s="1"/>
  <c r="J21" s="1"/>
  <c r="F4"/>
  <c r="I4"/>
  <c r="J4" s="1"/>
  <c r="F5"/>
  <c r="I5" s="1"/>
  <c r="J5" s="1"/>
  <c r="F6"/>
  <c r="I6"/>
  <c r="J6" s="1"/>
  <c r="F7"/>
  <c r="I7" s="1"/>
  <c r="J7" s="1"/>
  <c r="F8"/>
  <c r="F9"/>
  <c r="I9" s="1"/>
  <c r="J9" s="1"/>
  <c r="F10"/>
  <c r="I10" s="1"/>
  <c r="J10" s="1"/>
  <c r="F11"/>
  <c r="I11" s="1"/>
  <c r="J11" s="1"/>
  <c r="F12"/>
  <c r="I12"/>
  <c r="J12" s="1"/>
  <c r="F13"/>
  <c r="I13" s="1"/>
  <c r="J13" s="1"/>
  <c r="F14"/>
  <c r="I14"/>
  <c r="J14" s="1"/>
  <c r="F15"/>
  <c r="I15" s="1"/>
  <c r="J15" s="1"/>
  <c r="F16"/>
  <c r="F17"/>
  <c r="I17" s="1"/>
  <c r="J17" s="1"/>
  <c r="F18"/>
  <c r="I18" s="1"/>
  <c r="J18" s="1"/>
  <c r="F19"/>
  <c r="I19" s="1"/>
  <c r="J19" s="1"/>
  <c r="F3"/>
  <c r="I3"/>
  <c r="J3" s="1"/>
  <c r="B4" i="1"/>
  <c r="C4" s="1"/>
  <c r="D4"/>
  <c r="B5"/>
  <c r="C5"/>
  <c r="D5"/>
  <c r="B6"/>
  <c r="C6" s="1"/>
  <c r="D6"/>
  <c r="B7"/>
  <c r="C7" s="1"/>
  <c r="D7"/>
  <c r="B8"/>
  <c r="C8" s="1"/>
  <c r="D8"/>
  <c r="B9"/>
  <c r="C9" s="1"/>
  <c r="D9"/>
  <c r="B10"/>
  <c r="C10" s="1"/>
  <c r="D10"/>
  <c r="B11"/>
  <c r="C11"/>
  <c r="D11"/>
  <c r="B12"/>
  <c r="C12"/>
  <c r="D12"/>
  <c r="B13"/>
  <c r="C13"/>
  <c r="D13"/>
  <c r="B14"/>
  <c r="C14" s="1"/>
  <c r="D14"/>
  <c r="B15"/>
  <c r="C15" s="1"/>
  <c r="D15"/>
  <c r="B16"/>
  <c r="C16" s="1"/>
  <c r="D16"/>
  <c r="B17"/>
  <c r="C17" s="1"/>
  <c r="D17"/>
  <c r="B18"/>
  <c r="C18" s="1"/>
  <c r="D18"/>
  <c r="B19"/>
  <c r="C19"/>
  <c r="D19"/>
  <c r="B20"/>
  <c r="C20"/>
  <c r="D20"/>
  <c r="B21"/>
  <c r="C21"/>
  <c r="D21"/>
  <c r="B22"/>
  <c r="C22" s="1"/>
  <c r="D22"/>
  <c r="B24"/>
  <c r="C24" s="1"/>
  <c r="D24"/>
  <c r="D3"/>
  <c r="B3"/>
  <c r="C3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4"/>
  <c r="F24" s="1"/>
  <c r="E3"/>
  <c r="F3" s="1"/>
  <c r="F31" i="2" l="1"/>
  <c r="F32"/>
  <c r="F50"/>
  <c r="F35"/>
  <c r="F15"/>
  <c r="F8"/>
  <c r="D38"/>
  <c r="E38" s="1"/>
  <c r="D4"/>
  <c r="E4" s="1"/>
  <c r="F56"/>
  <c r="F23"/>
  <c r="F3"/>
  <c r="D58"/>
  <c r="E58" s="1"/>
  <c r="F46"/>
  <c r="F66"/>
  <c r="F24"/>
  <c r="F22"/>
  <c r="D28"/>
  <c r="E28" s="1"/>
  <c r="D16"/>
  <c r="E16" s="1"/>
  <c r="D70"/>
  <c r="E70" s="1"/>
  <c r="F37"/>
  <c r="F11"/>
  <c r="D40"/>
  <c r="E40" s="1"/>
  <c r="D44"/>
  <c r="E44" s="1"/>
  <c r="F39"/>
  <c r="D68"/>
  <c r="E68" s="1"/>
  <c r="D42"/>
  <c r="E42" s="1"/>
  <c r="F54"/>
  <c r="F48"/>
  <c r="D69"/>
  <c r="E69" s="1"/>
  <c r="D36"/>
  <c r="E36" s="1"/>
  <c r="D30"/>
  <c r="E30" s="1"/>
  <c r="F5"/>
  <c r="D20"/>
  <c r="E20" s="1"/>
  <c r="D60"/>
  <c r="E60" s="1"/>
  <c r="D71"/>
  <c r="E71" s="1"/>
  <c r="F19"/>
  <c r="H16" i="3"/>
  <c r="H8"/>
  <c r="I23"/>
  <c r="J23" s="1"/>
  <c r="D65" i="2"/>
  <c r="E65" s="1"/>
  <c r="F63"/>
  <c r="D57"/>
  <c r="E57" s="1"/>
  <c r="F55"/>
  <c r="D49"/>
  <c r="E49" s="1"/>
  <c r="F47"/>
  <c r="D72"/>
  <c r="E72" s="1"/>
  <c r="F41"/>
  <c r="F33"/>
  <c r="F25"/>
  <c r="F17"/>
  <c r="F9"/>
  <c r="D2"/>
  <c r="E2" s="1"/>
  <c r="D34"/>
  <c r="E34" s="1"/>
  <c r="D26"/>
  <c r="E26" s="1"/>
  <c r="D18"/>
  <c r="E18" s="1"/>
  <c r="D10"/>
  <c r="E10" s="1"/>
  <c r="H22" i="3"/>
  <c r="D67" i="2"/>
  <c r="E67" s="1"/>
  <c r="D59"/>
  <c r="E59" s="1"/>
  <c r="D51"/>
  <c r="E51" s="1"/>
  <c r="D43"/>
  <c r="E43" s="1"/>
  <c r="D61"/>
  <c r="E61" s="1"/>
  <c r="D53"/>
  <c r="E53" s="1"/>
  <c r="D45"/>
  <c r="E45" s="1"/>
</calcChain>
</file>

<file path=xl/sharedStrings.xml><?xml version="1.0" encoding="utf-8"?>
<sst xmlns="http://schemas.openxmlformats.org/spreadsheetml/2006/main" count="32" uniqueCount="25">
  <si>
    <t>Pa = Po (1 - 6.87535*10-6Hc)^5.2561</t>
  </si>
  <si>
    <t>where Pa is the air pressure at altitude Hc at a given sea level pressure Po and where ^5.2561 means "raised to the power of 5.2561."</t>
  </si>
  <si>
    <t>Altitude (ft)</t>
  </si>
  <si>
    <t>Altitude (m)</t>
  </si>
  <si>
    <t>Pressure (hPa)</t>
  </si>
  <si>
    <t>Pressure (mmHg)</t>
  </si>
  <si>
    <t>Pressure (inHg)</t>
  </si>
  <si>
    <t>Pressure (atm)</t>
  </si>
  <si>
    <t>Surface Pressure (hPa)</t>
  </si>
  <si>
    <t>Lift (kg)</t>
  </si>
  <si>
    <t>Lift (lb)</t>
  </si>
  <si>
    <r>
      <t xml:space="preserve">Outside Temp </t>
    </r>
    <r>
      <rPr>
        <b/>
        <vertAlign val="superscript"/>
        <sz val="10"/>
        <color indexed="9"/>
        <rFont val="Arial"/>
        <family val="2"/>
      </rPr>
      <t>o</t>
    </r>
    <r>
      <rPr>
        <b/>
        <sz val="10"/>
        <color indexed="9"/>
        <rFont val="Arial"/>
      </rPr>
      <t>K</t>
    </r>
  </si>
  <si>
    <t>Pressure @ Altitude</t>
  </si>
  <si>
    <t>Variables to be Entered</t>
  </si>
  <si>
    <r>
      <t>Operating Temperature 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</si>
  <si>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r>
      <t>ISA Variation 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</si>
  <si>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t>Altitude</t>
  </si>
  <si>
    <r>
      <t>Balloon Size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</si>
  <si>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Converters</t>
  </si>
  <si>
    <t>inHg -&gt; hPa</t>
  </si>
  <si>
    <r>
      <t>ft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-&gt; m</t>
    </r>
    <r>
      <rPr>
        <b/>
        <vertAlign val="superscript"/>
        <sz val="10"/>
        <rFont val="Arial"/>
        <family val="2"/>
      </rPr>
      <t>3</t>
    </r>
  </si>
  <si>
    <r>
      <t>o</t>
    </r>
    <r>
      <rPr>
        <b/>
        <sz val="10"/>
        <rFont val="Arial"/>
        <family val="2"/>
      </rPr>
      <t xml:space="preserve">F -&gt; 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</t>
    </r>
  </si>
  <si>
    <r>
      <t xml:space="preserve">Outside Temp </t>
    </r>
    <r>
      <rPr>
        <b/>
        <sz val="10"/>
        <color indexed="9"/>
        <rFont val="Arial"/>
      </rPr>
      <t>oC</t>
    </r>
  </si>
  <si>
    <t>m -&gt; ft</t>
  </si>
  <si>
    <t>Surface Level Pressure</t>
  </si>
</sst>
</file>

<file path=xl/styles.xml><?xml version="1.0" encoding="utf-8"?>
<styleSheet xmlns="http://schemas.openxmlformats.org/spreadsheetml/2006/main">
  <numFmts count="2">
    <numFmt numFmtId="175" formatCode="0.000"/>
    <numFmt numFmtId="176" formatCode="0.0"/>
  </numFmts>
  <fonts count="8">
    <font>
      <sz val="10"/>
      <name val="Arial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vertAlign val="superscript"/>
      <sz val="10"/>
      <color indexed="9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2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 applyBorder="1" applyAlignment="1"/>
    <xf numFmtId="1" fontId="1" fillId="3" borderId="0" xfId="0" applyNumberFormat="1" applyFont="1" applyFill="1" applyBorder="1" applyAlignment="1"/>
    <xf numFmtId="0" fontId="1" fillId="4" borderId="0" xfId="0" applyFont="1" applyFill="1" applyBorder="1" applyAlignment="1"/>
    <xf numFmtId="1" fontId="1" fillId="4" borderId="0" xfId="0" applyNumberFormat="1" applyFont="1" applyFill="1" applyBorder="1" applyAlignment="1"/>
    <xf numFmtId="0" fontId="1" fillId="4" borderId="1" xfId="0" applyFont="1" applyFill="1" applyBorder="1" applyAlignment="1"/>
    <xf numFmtId="1" fontId="1" fillId="4" borderId="1" xfId="0" applyNumberFormat="1" applyFont="1" applyFill="1" applyBorder="1" applyAlignment="1"/>
    <xf numFmtId="2" fontId="1" fillId="3" borderId="0" xfId="0" applyNumberFormat="1" applyFont="1" applyFill="1" applyBorder="1" applyAlignment="1"/>
    <xf numFmtId="2" fontId="1" fillId="4" borderId="0" xfId="0" applyNumberFormat="1" applyFont="1" applyFill="1" applyBorder="1" applyAlignment="1"/>
    <xf numFmtId="2" fontId="1" fillId="4" borderId="1" xfId="0" applyNumberFormat="1" applyFont="1" applyFill="1" applyBorder="1" applyAlignment="1"/>
    <xf numFmtId="0" fontId="2" fillId="5" borderId="0" xfId="0" applyFont="1" applyFill="1" applyBorder="1" applyAlignment="1">
      <alignment horizontal="center" wrapText="1"/>
    </xf>
    <xf numFmtId="1" fontId="2" fillId="5" borderId="0" xfId="0" applyNumberFormat="1" applyFont="1" applyFill="1" applyBorder="1" applyAlignment="1">
      <alignment horizontal="center" wrapText="1"/>
    </xf>
    <xf numFmtId="175" fontId="2" fillId="5" borderId="0" xfId="0" applyNumberFormat="1" applyFont="1" applyFill="1" applyBorder="1" applyAlignment="1">
      <alignment horizontal="center" wrapText="1"/>
    </xf>
    <xf numFmtId="175" fontId="1" fillId="4" borderId="0" xfId="0" applyNumberFormat="1" applyFont="1" applyFill="1" applyBorder="1" applyAlignment="1"/>
    <xf numFmtId="175" fontId="0" fillId="0" borderId="0" xfId="0" applyNumberFormat="1"/>
    <xf numFmtId="175" fontId="1" fillId="3" borderId="0" xfId="0" applyNumberFormat="1" applyFont="1" applyFill="1" applyBorder="1" applyAlignment="1"/>
    <xf numFmtId="175" fontId="1" fillId="4" borderId="1" xfId="0" applyNumberFormat="1" applyFont="1" applyFill="1" applyBorder="1" applyAlignment="1"/>
    <xf numFmtId="2" fontId="2" fillId="5" borderId="0" xfId="0" applyNumberFormat="1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0" fillId="0" borderId="2" xfId="0" applyBorder="1"/>
    <xf numFmtId="0" fontId="5" fillId="0" borderId="0" xfId="0" applyFont="1" applyBorder="1" applyAlignment="1">
      <alignment horizontal="center"/>
    </xf>
    <xf numFmtId="1" fontId="0" fillId="0" borderId="3" xfId="0" applyNumberFormat="1" applyBorder="1"/>
    <xf numFmtId="0" fontId="6" fillId="0" borderId="0" xfId="0" applyFont="1" applyBorder="1" applyAlignment="1">
      <alignment horizontal="center"/>
    </xf>
    <xf numFmtId="176" fontId="0" fillId="0" borderId="3" xfId="0" applyNumberFormat="1" applyBorder="1"/>
    <xf numFmtId="0" fontId="5" fillId="0" borderId="4" xfId="0" applyFont="1" applyBorder="1" applyAlignment="1">
      <alignment horizontal="center"/>
    </xf>
    <xf numFmtId="2" fontId="0" fillId="0" borderId="5" xfId="0" applyNumberFormat="1" applyBorder="1"/>
    <xf numFmtId="0" fontId="0" fillId="6" borderId="2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5" xfId="0" applyFill="1" applyBorder="1"/>
    <xf numFmtId="0" fontId="1" fillId="3" borderId="13" xfId="0" applyFont="1" applyFill="1" applyBorder="1" applyAlignment="1"/>
    <xf numFmtId="1" fontId="1" fillId="3" borderId="13" xfId="0" applyNumberFormat="1" applyFont="1" applyFill="1" applyBorder="1" applyAlignment="1"/>
    <xf numFmtId="2" fontId="1" fillId="3" borderId="13" xfId="0" applyNumberFormat="1" applyFont="1" applyFill="1" applyBorder="1" applyAlignment="1"/>
    <xf numFmtId="175" fontId="1" fillId="3" borderId="13" xfId="0" applyNumberFormat="1" applyFont="1" applyFill="1" applyBorder="1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0" fillId="0" borderId="0" xfId="0" applyAlignment="1"/>
    <xf numFmtId="0" fontId="5" fillId="0" borderId="6" xfId="0" applyFont="1" applyBorder="1" applyAlignment="1">
      <alignment horizontal="right"/>
    </xf>
    <xf numFmtId="0" fontId="0" fillId="0" borderId="4" xfId="0" applyBorder="1" applyAlignment="1"/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Altitude vs Pressure</a:t>
            </a:r>
          </a:p>
        </c:rich>
      </c:tx>
      <c:layout>
        <c:manualLayout>
          <c:xMode val="edge"/>
          <c:yMode val="edge"/>
          <c:x val="0.33957625509427475"/>
          <c:y val="3.054662978912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352099080462644"/>
          <c:y val="0.18488749609208108"/>
          <c:w val="0.75655592127621507"/>
          <c:h val="0.65273324707291236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'Altitude -&gt;Pressure'!$B$2:$B$72</c:f>
              <c:numCache>
                <c:formatCode>0</c:formatCode>
                <c:ptCount val="71"/>
                <c:pt idx="0">
                  <c:v>0</c:v>
                </c:pt>
                <c:pt idx="1">
                  <c:v>304.8</c:v>
                </c:pt>
                <c:pt idx="2">
                  <c:v>609.6</c:v>
                </c:pt>
                <c:pt idx="3">
                  <c:v>914.4</c:v>
                </c:pt>
                <c:pt idx="4">
                  <c:v>1219.2</c:v>
                </c:pt>
                <c:pt idx="5">
                  <c:v>1524</c:v>
                </c:pt>
                <c:pt idx="6">
                  <c:v>1828.8</c:v>
                </c:pt>
                <c:pt idx="7">
                  <c:v>2133.6</c:v>
                </c:pt>
                <c:pt idx="8">
                  <c:v>2438.4</c:v>
                </c:pt>
                <c:pt idx="9">
                  <c:v>2743.2</c:v>
                </c:pt>
                <c:pt idx="10">
                  <c:v>3048</c:v>
                </c:pt>
                <c:pt idx="11">
                  <c:v>3352.8</c:v>
                </c:pt>
                <c:pt idx="12">
                  <c:v>3657.6</c:v>
                </c:pt>
                <c:pt idx="13">
                  <c:v>3962.4</c:v>
                </c:pt>
                <c:pt idx="14">
                  <c:v>4267.2</c:v>
                </c:pt>
                <c:pt idx="15">
                  <c:v>4572</c:v>
                </c:pt>
                <c:pt idx="16">
                  <c:v>4876.8</c:v>
                </c:pt>
                <c:pt idx="17">
                  <c:v>5181.6000000000004</c:v>
                </c:pt>
                <c:pt idx="18">
                  <c:v>5486.4</c:v>
                </c:pt>
                <c:pt idx="19">
                  <c:v>5791.2</c:v>
                </c:pt>
                <c:pt idx="20">
                  <c:v>6096</c:v>
                </c:pt>
                <c:pt idx="21">
                  <c:v>6400.8</c:v>
                </c:pt>
                <c:pt idx="22">
                  <c:v>6705.6</c:v>
                </c:pt>
                <c:pt idx="23">
                  <c:v>7010.4</c:v>
                </c:pt>
                <c:pt idx="24">
                  <c:v>7315.2</c:v>
                </c:pt>
                <c:pt idx="25">
                  <c:v>7620</c:v>
                </c:pt>
                <c:pt idx="26">
                  <c:v>7924.8</c:v>
                </c:pt>
                <c:pt idx="27">
                  <c:v>8229.6</c:v>
                </c:pt>
                <c:pt idx="28">
                  <c:v>8534.4</c:v>
                </c:pt>
                <c:pt idx="29">
                  <c:v>8839.2000000000007</c:v>
                </c:pt>
                <c:pt idx="30">
                  <c:v>9144</c:v>
                </c:pt>
                <c:pt idx="31">
                  <c:v>9448.7999999999993</c:v>
                </c:pt>
                <c:pt idx="32">
                  <c:v>9753.6</c:v>
                </c:pt>
                <c:pt idx="33">
                  <c:v>10058.4</c:v>
                </c:pt>
                <c:pt idx="34">
                  <c:v>10363.200000000001</c:v>
                </c:pt>
                <c:pt idx="35">
                  <c:v>10668</c:v>
                </c:pt>
                <c:pt idx="36">
                  <c:v>10972.8</c:v>
                </c:pt>
                <c:pt idx="37">
                  <c:v>11277.6</c:v>
                </c:pt>
                <c:pt idx="38">
                  <c:v>11582.4</c:v>
                </c:pt>
                <c:pt idx="39">
                  <c:v>11887.2</c:v>
                </c:pt>
                <c:pt idx="40">
                  <c:v>12192</c:v>
                </c:pt>
                <c:pt idx="41">
                  <c:v>12496.8</c:v>
                </c:pt>
                <c:pt idx="42">
                  <c:v>12801.6</c:v>
                </c:pt>
                <c:pt idx="43">
                  <c:v>13106.4</c:v>
                </c:pt>
                <c:pt idx="44">
                  <c:v>13411.2</c:v>
                </c:pt>
                <c:pt idx="45">
                  <c:v>13716</c:v>
                </c:pt>
                <c:pt idx="46">
                  <c:v>14020.8</c:v>
                </c:pt>
                <c:pt idx="47">
                  <c:v>14325.6</c:v>
                </c:pt>
                <c:pt idx="48">
                  <c:v>14630.4</c:v>
                </c:pt>
                <c:pt idx="49">
                  <c:v>14935.2</c:v>
                </c:pt>
                <c:pt idx="50">
                  <c:v>15240</c:v>
                </c:pt>
                <c:pt idx="51">
                  <c:v>15544.8</c:v>
                </c:pt>
                <c:pt idx="52">
                  <c:v>15849.6</c:v>
                </c:pt>
                <c:pt idx="53">
                  <c:v>16154.4</c:v>
                </c:pt>
                <c:pt idx="54">
                  <c:v>16459.2</c:v>
                </c:pt>
                <c:pt idx="55">
                  <c:v>16764</c:v>
                </c:pt>
                <c:pt idx="56">
                  <c:v>17068.8</c:v>
                </c:pt>
                <c:pt idx="57">
                  <c:v>17373.599999999999</c:v>
                </c:pt>
                <c:pt idx="58">
                  <c:v>17678.400000000001</c:v>
                </c:pt>
                <c:pt idx="59">
                  <c:v>17983.2</c:v>
                </c:pt>
                <c:pt idx="60">
                  <c:v>18288</c:v>
                </c:pt>
                <c:pt idx="61">
                  <c:v>18592.8</c:v>
                </c:pt>
                <c:pt idx="62">
                  <c:v>18897.599999999999</c:v>
                </c:pt>
                <c:pt idx="63">
                  <c:v>19202.400000000001</c:v>
                </c:pt>
                <c:pt idx="64">
                  <c:v>19507.2</c:v>
                </c:pt>
                <c:pt idx="65">
                  <c:v>19812</c:v>
                </c:pt>
                <c:pt idx="66">
                  <c:v>20116.8</c:v>
                </c:pt>
                <c:pt idx="67">
                  <c:v>20421.599999999999</c:v>
                </c:pt>
                <c:pt idx="68">
                  <c:v>20726.400000000001</c:v>
                </c:pt>
                <c:pt idx="69">
                  <c:v>21031.200000000001</c:v>
                </c:pt>
                <c:pt idx="70">
                  <c:v>21336</c:v>
                </c:pt>
              </c:numCache>
            </c:numRef>
          </c:xVal>
          <c:yVal>
            <c:numRef>
              <c:f>'Altitude -&gt;Pressure'!$C$2:$C$72</c:f>
              <c:numCache>
                <c:formatCode>0.00</c:formatCode>
                <c:ptCount val="71"/>
                <c:pt idx="0">
                  <c:v>1000.23</c:v>
                </c:pt>
                <c:pt idx="1">
                  <c:v>964.60908303281292</c:v>
                </c:pt>
                <c:pt idx="2">
                  <c:v>930.02240678308033</c:v>
                </c:pt>
                <c:pt idx="3">
                  <c:v>896.44683954702487</c:v>
                </c:pt>
                <c:pt idx="4">
                  <c:v>863.85961058037014</c:v>
                </c:pt>
                <c:pt idx="5">
                  <c:v>832.23830694042965</c:v>
                </c:pt>
                <c:pt idx="6">
                  <c:v>801.56087033386041</c:v>
                </c:pt>
                <c:pt idx="7">
                  <c:v>771.80559397012598</c:v>
                </c:pt>
                <c:pt idx="8">
                  <c:v>742.95111942068468</c:v>
                </c:pt>
                <c:pt idx="9">
                  <c:v>714.97643348394888</c:v>
                </c:pt>
                <c:pt idx="10">
                  <c:v>687.86086505602998</c:v>
                </c:pt>
                <c:pt idx="11">
                  <c:v>661.58408200731662</c:v>
                </c:pt>
                <c:pt idx="12">
                  <c:v>636.12608806490221</c:v>
                </c:pt>
                <c:pt idx="13">
                  <c:v>611.46721970090937</c:v>
                </c:pt>
                <c:pt idx="14">
                  <c:v>587.58814302672886</c:v>
                </c:pt>
                <c:pt idx="15">
                  <c:v>564.46985069321966</c:v>
                </c:pt>
                <c:pt idx="16">
                  <c:v>542.09365879689074</c:v>
                </c:pt>
                <c:pt idx="17">
                  <c:v>520.44120379211199</c:v>
                </c:pt>
                <c:pt idx="18">
                  <c:v>499.49443940937414</c:v>
                </c:pt>
                <c:pt idx="19">
                  <c:v>479.23563357964611</c:v>
                </c:pt>
                <c:pt idx="20">
                  <c:v>459.64736536485339</c:v>
                </c:pt>
                <c:pt idx="21">
                  <c:v>440.71252189452315</c:v>
                </c:pt>
                <c:pt idx="22">
                  <c:v>422.41429530862337</c:v>
                </c:pt>
                <c:pt idx="23">
                  <c:v>404.7361797066398</c:v>
                </c:pt>
                <c:pt idx="24">
                  <c:v>387.6619681029249</c:v>
                </c:pt>
                <c:pt idx="25">
                  <c:v>371.17574938835503</c:v>
                </c:pt>
                <c:pt idx="26">
                  <c:v>355.26190529833707</c:v>
                </c:pt>
                <c:pt idx="27">
                  <c:v>339.90510738720212</c:v>
                </c:pt>
                <c:pt idx="28">
                  <c:v>325.0903140090262</c:v>
                </c:pt>
                <c:pt idx="29">
                  <c:v>310.80276730491624</c:v>
                </c:pt>
                <c:pt idx="30">
                  <c:v>297.02799019680396</c:v>
                </c:pt>
                <c:pt idx="31">
                  <c:v>283.75178338778733</c:v>
                </c:pt>
                <c:pt idx="32">
                  <c:v>270.96022236906373</c:v>
                </c:pt>
                <c:pt idx="33">
                  <c:v>258.63965443349349</c:v>
                </c:pt>
                <c:pt idx="34">
                  <c:v>246.77669569583955</c:v>
                </c:pt>
                <c:pt idx="35">
                  <c:v>235.35822811972727</c:v>
                </c:pt>
                <c:pt idx="36">
                  <c:v>224.37139655136744</c:v>
                </c:pt>
                <c:pt idx="37">
                  <c:v>213.80360576008701</c:v>
                </c:pt>
                <c:pt idx="38">
                  <c:v>203.64251748571607</c:v>
                </c:pt>
                <c:pt idx="39">
                  <c:v>193.87604749287439</c:v>
                </c:pt>
                <c:pt idx="40">
                  <c:v>184.49236263220791</c:v>
                </c:pt>
                <c:pt idx="41">
                  <c:v>175.47987790861973</c:v>
                </c:pt>
                <c:pt idx="42">
                  <c:v>166.82725355654813</c:v>
                </c:pt>
                <c:pt idx="43">
                  <c:v>158.52339212233883</c:v>
                </c:pt>
                <c:pt idx="44">
                  <c:v>150.5574355537625</c:v>
                </c:pt>
                <c:pt idx="45">
                  <c:v>142.91876229672866</c:v>
                </c:pt>
                <c:pt idx="46">
                  <c:v>135.59698439924966</c:v>
                </c:pt>
                <c:pt idx="47">
                  <c:v>128.58194462270572</c:v>
                </c:pt>
                <c:pt idx="48">
                  <c:v>121.86371356046621</c:v>
                </c:pt>
                <c:pt idx="49">
                  <c:v>115.43258676392175</c:v>
                </c:pt>
                <c:pt idx="50">
                  <c:v>109.27908187598356</c:v>
                </c:pt>
                <c:pt idx="51">
                  <c:v>103.39393577210676</c:v>
                </c:pt>
                <c:pt idx="52">
                  <c:v>97.768101708894946</c:v>
                </c:pt>
                <c:pt idx="53">
                  <c:v>92.392746480345821</c:v>
                </c:pt>
                <c:pt idx="54">
                  <c:v>87.259247581797879</c:v>
                </c:pt>
                <c:pt idx="55">
                  <c:v>82.359190381639436</c:v>
                </c:pt>
                <c:pt idx="56">
                  <c:v>77.68436530084162</c:v>
                </c:pt>
                <c:pt idx="57">
                  <c:v>73.226765000379814</c:v>
                </c:pt>
                <c:pt idx="58">
                  <c:v>68.978581576608079</c:v>
                </c:pt>
                <c:pt idx="59">
                  <c:v>64.932203764652556</c:v>
                </c:pt>
                <c:pt idx="60">
                  <c:v>61.080214149890828</c:v>
                </c:pt>
                <c:pt idx="61">
                  <c:v>57.415386387586551</c:v>
                </c:pt>
                <c:pt idx="62">
                  <c:v>53.930682430749187</c:v>
                </c:pt>
                <c:pt idx="63">
                  <c:v>50.619249766290274</c:v>
                </c:pt>
                <c:pt idx="64">
                  <c:v>47.474418659549379</c:v>
                </c:pt>
                <c:pt idx="65">
                  <c:v>44.489699407263792</c:v>
                </c:pt>
                <c:pt idx="66">
                  <c:v>41.658779599058825</c:v>
                </c:pt>
                <c:pt idx="67">
                  <c:v>38.975521387535821</c:v>
                </c:pt>
                <c:pt idx="68">
                  <c:v>36.433958767037247</c:v>
                </c:pt>
                <c:pt idx="69">
                  <c:v>34.028294861170451</c:v>
                </c:pt>
                <c:pt idx="70">
                  <c:v>31.752899219172676</c:v>
                </c:pt>
              </c:numCache>
            </c:numRef>
          </c:yVal>
        </c:ser>
        <c:axId val="63456768"/>
        <c:axId val="63459328"/>
      </c:scatterChart>
      <c:valAx>
        <c:axId val="63456768"/>
        <c:scaling>
          <c:orientation val="minMax"/>
          <c:max val="18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Altitude (m)</a:t>
                </a:r>
              </a:p>
            </c:rich>
          </c:tx>
          <c:layout>
            <c:manualLayout>
              <c:xMode val="edge"/>
              <c:yMode val="edge"/>
              <c:x val="0.4906377509266544"/>
              <c:y val="0.9099680242445032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59328"/>
        <c:crosses val="autoZero"/>
        <c:crossBetween val="midCat"/>
        <c:majorUnit val="3000"/>
      </c:valAx>
      <c:valAx>
        <c:axId val="63459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(hPa)</a:t>
                </a:r>
              </a:p>
            </c:rich>
          </c:tx>
          <c:layout>
            <c:manualLayout>
              <c:xMode val="edge"/>
              <c:yMode val="edge"/>
              <c:x val="2.6217284400660922E-2"/>
              <c:y val="0.393890752543998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56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Altitude vs Lift</a:t>
            </a:r>
          </a:p>
        </c:rich>
      </c:tx>
      <c:layout>
        <c:manualLayout>
          <c:xMode val="edge"/>
          <c:yMode val="edge"/>
          <c:x val="0.38000069580205531"/>
          <c:y val="3.05958974040428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2502677922384"/>
          <c:y val="0.16586197013770593"/>
          <c:w val="0.795001455691142"/>
          <c:h val="0.67472005327862894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'Lift Calculator'!$E$3:$E$30</c:f>
              <c:numCache>
                <c:formatCode>General</c:formatCode>
                <c:ptCount val="2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25000</c:v>
                </c:pt>
                <c:pt idx="13">
                  <c:v>27000</c:v>
                </c:pt>
                <c:pt idx="14">
                  <c:v>30000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40000</c:v>
                </c:pt>
                <c:pt idx="19">
                  <c:v>45000</c:v>
                </c:pt>
                <c:pt idx="20">
                  <c:v>50000</c:v>
                </c:pt>
                <c:pt idx="21">
                  <c:v>55000</c:v>
                </c:pt>
                <c:pt idx="22">
                  <c:v>60000</c:v>
                </c:pt>
                <c:pt idx="23">
                  <c:v>65000</c:v>
                </c:pt>
                <c:pt idx="24">
                  <c:v>70000</c:v>
                </c:pt>
              </c:numCache>
            </c:numRef>
          </c:xVal>
          <c:yVal>
            <c:numRef>
              <c:f>'Lift Calculator'!$I$3:$I$30</c:f>
              <c:numCache>
                <c:formatCode>0</c:formatCode>
                <c:ptCount val="28"/>
                <c:pt idx="0">
                  <c:v>1082.7037789391991</c:v>
                </c:pt>
                <c:pt idx="1">
                  <c:v>1065.4530752425503</c:v>
                </c:pt>
                <c:pt idx="2">
                  <c:v>1048.107361899649</c:v>
                </c:pt>
                <c:pt idx="3">
                  <c:v>1030.6816231411842</c:v>
                </c:pt>
                <c:pt idx="4">
                  <c:v>995.64787310691543</c:v>
                </c:pt>
                <c:pt idx="5">
                  <c:v>960.46324148792087</c:v>
                </c:pt>
                <c:pt idx="6">
                  <c:v>907.63094927160012</c:v>
                </c:pt>
                <c:pt idx="7">
                  <c:v>872.51376141369769</c:v>
                </c:pt>
                <c:pt idx="8">
                  <c:v>820.21730657241153</c:v>
                </c:pt>
                <c:pt idx="9">
                  <c:v>768.61884758853694</c:v>
                </c:pt>
                <c:pt idx="10">
                  <c:v>734.73058297908926</c:v>
                </c:pt>
                <c:pt idx="11">
                  <c:v>701.32885826525182</c:v>
                </c:pt>
                <c:pt idx="12">
                  <c:v>652.27017305531137</c:v>
                </c:pt>
                <c:pt idx="13">
                  <c:v>620.33966428209544</c:v>
                </c:pt>
                <c:pt idx="14">
                  <c:v>573.72743353615999</c:v>
                </c:pt>
                <c:pt idx="15">
                  <c:v>528.78069807253871</c:v>
                </c:pt>
                <c:pt idx="16">
                  <c:v>499.80166893635112</c:v>
                </c:pt>
                <c:pt idx="17">
                  <c:v>458.36555555570493</c:v>
                </c:pt>
                <c:pt idx="18">
                  <c:v>395.52627745945705</c:v>
                </c:pt>
                <c:pt idx="19">
                  <c:v>306.39819027646649</c:v>
                </c:pt>
                <c:pt idx="20">
                  <c:v>234.27933732281966</c:v>
                </c:pt>
                <c:pt idx="21">
                  <c:v>176.56678857305567</c:v>
                </c:pt>
                <c:pt idx="22">
                  <c:v>130.94758712204398</c:v>
                </c:pt>
                <c:pt idx="23">
                  <c:v>95.379802940272398</c:v>
                </c:pt>
                <c:pt idx="24">
                  <c:v>68.073853288668076</c:v>
                </c:pt>
              </c:numCache>
            </c:numRef>
          </c:yVal>
          <c:smooth val="1"/>
        </c:ser>
        <c:axId val="63487360"/>
        <c:axId val="63501824"/>
      </c:scatterChart>
      <c:valAx>
        <c:axId val="63487360"/>
        <c:scaling>
          <c:orientation val="minMax"/>
          <c:max val="7000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Altitude</a:t>
                </a:r>
              </a:p>
            </c:rich>
          </c:tx>
          <c:layout>
            <c:manualLayout>
              <c:xMode val="edge"/>
              <c:yMode val="edge"/>
              <c:x val="0.49500090637372995"/>
              <c:y val="0.913045990952225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01824"/>
        <c:crossesAt val="0"/>
        <c:crossBetween val="midCat"/>
      </c:valAx>
      <c:valAx>
        <c:axId val="63501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(kg)</a:t>
                </a:r>
              </a:p>
            </c:rich>
          </c:tx>
          <c:layout>
            <c:manualLayout>
              <c:xMode val="edge"/>
              <c:yMode val="edge"/>
              <c:x val="2.3750043487628457E-2"/>
              <c:y val="0.43800442599471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8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16</xdr:row>
      <xdr:rowOff>144780</xdr:rowOff>
    </xdr:from>
    <xdr:to>
      <xdr:col>3</xdr:col>
      <xdr:colOff>647700</xdr:colOff>
      <xdr:row>31</xdr:row>
      <xdr:rowOff>137160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1546860" y="3169920"/>
          <a:ext cx="2499360" cy="2522220"/>
        </a:xfrm>
        <a:prstGeom prst="cloudCallout">
          <a:avLst>
            <a:gd name="adj1" fmla="val -57060"/>
            <a:gd name="adj2" fmla="val -51755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Enter your imperial measurement data on the left and it will be metricated for use in the variable input fields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45720</xdr:rowOff>
    </xdr:from>
    <xdr:to>
      <xdr:col>10</xdr:col>
      <xdr:colOff>601980</xdr:colOff>
      <xdr:row>28</xdr:row>
      <xdr:rowOff>91440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137160</xdr:rowOff>
    </xdr:from>
    <xdr:to>
      <xdr:col>11</xdr:col>
      <xdr:colOff>0</xdr:colOff>
      <xdr:row>58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7"/>
  <sheetViews>
    <sheetView tabSelected="1" workbookViewId="0">
      <selection activeCell="E27" sqref="E27"/>
    </sheetView>
  </sheetViews>
  <sheetFormatPr defaultRowHeight="13.2"/>
  <cols>
    <col min="1" max="1" width="8.88671875" customWidth="1"/>
    <col min="2" max="2" width="8.88671875" style="1" customWidth="1"/>
    <col min="3" max="3" width="8.88671875" customWidth="1"/>
    <col min="4" max="4" width="8.88671875" style="18" customWidth="1"/>
    <col min="5" max="5" width="8" bestFit="1" customWidth="1"/>
    <col min="6" max="6" width="8" style="1" bestFit="1" customWidth="1"/>
  </cols>
  <sheetData>
    <row r="2" spans="1:6" s="3" customFormat="1" ht="26.4">
      <c r="A2" s="14" t="s">
        <v>4</v>
      </c>
      <c r="B2" s="15" t="s">
        <v>5</v>
      </c>
      <c r="C2" s="14" t="s">
        <v>6</v>
      </c>
      <c r="D2" s="16" t="s">
        <v>7</v>
      </c>
      <c r="E2" s="14" t="s">
        <v>2</v>
      </c>
      <c r="F2" s="15" t="s">
        <v>3</v>
      </c>
    </row>
    <row r="3" spans="1:6">
      <c r="A3" s="7">
        <v>1013.25</v>
      </c>
      <c r="B3" s="8">
        <f t="shared" ref="B3:B27" si="0">CONVERT(A3,"hPa","mmHg")</f>
        <v>760.00002562960867</v>
      </c>
      <c r="C3" s="12">
        <f t="shared" ref="C3:C27" si="1">CONVERT(B3,"mm","in")</f>
        <v>29.921260851559396</v>
      </c>
      <c r="D3" s="17">
        <f t="shared" ref="D3:D24" si="2">CONVERT(A3,"hPa","atm")</f>
        <v>1.0000000337231691</v>
      </c>
      <c r="E3" s="8">
        <f>(10^(LOG10(A3/'Altitude -&gt;Pressure'!L$1)/5.2558797)-1)/(-6.8755856*10^-6)</f>
        <v>-358.32659442107166</v>
      </c>
      <c r="F3" s="8">
        <f t="shared" ref="F3:F27" si="3">CONVERT(E3,"ft","m")</f>
        <v>-109.21794597954263</v>
      </c>
    </row>
    <row r="4" spans="1:6">
      <c r="A4" s="7">
        <v>1000</v>
      </c>
      <c r="B4" s="8">
        <f t="shared" si="0"/>
        <v>750.06170799862684</v>
      </c>
      <c r="C4" s="12">
        <f t="shared" si="1"/>
        <v>29.529988503882944</v>
      </c>
      <c r="D4" s="17">
        <f t="shared" si="2"/>
        <v>0.98692329999819306</v>
      </c>
      <c r="E4" s="8">
        <f>(10^(LOG10(A4/'Altitude -&gt;Pressure'!L$1)/5.2558797)-1)/(-6.8755856*10^-6)</f>
        <v>6.3637525782404181</v>
      </c>
      <c r="F4" s="8">
        <f t="shared" si="3"/>
        <v>1.9396717858476795</v>
      </c>
    </row>
    <row r="5" spans="1:6">
      <c r="A5" s="5">
        <v>950</v>
      </c>
      <c r="B5" s="6">
        <f t="shared" si="0"/>
        <v>712.55862259869548</v>
      </c>
      <c r="C5" s="11">
        <f t="shared" si="1"/>
        <v>28.053489078688798</v>
      </c>
      <c r="D5" s="19">
        <f t="shared" si="2"/>
        <v>0.93757713499828343</v>
      </c>
      <c r="E5" s="6">
        <f>(10^(LOG10(A5/'Altitude -&gt;Pressure'!L$1)/5.2558797)-1)/(-6.8755856*10^-6)</f>
        <v>1418.8005265084198</v>
      </c>
      <c r="F5" s="6">
        <f t="shared" si="3"/>
        <v>432.45040047976636</v>
      </c>
    </row>
    <row r="6" spans="1:6">
      <c r="A6" s="5">
        <v>900</v>
      </c>
      <c r="B6" s="6">
        <f t="shared" si="0"/>
        <v>675.05553719876411</v>
      </c>
      <c r="C6" s="11">
        <f t="shared" si="1"/>
        <v>26.57698965349465</v>
      </c>
      <c r="D6" s="19">
        <f t="shared" si="2"/>
        <v>0.88823096999837381</v>
      </c>
      <c r="E6" s="6">
        <f>(10^(LOG10(A6/'Altitude -&gt;Pressure'!L$1)/5.2558797)-1)/(-6.8755856*10^-6)</f>
        <v>2892.7740530551459</v>
      </c>
      <c r="F6" s="6">
        <f t="shared" si="3"/>
        <v>881.71753137120845</v>
      </c>
    </row>
    <row r="7" spans="1:6">
      <c r="A7" s="7">
        <v>850</v>
      </c>
      <c r="B7" s="8">
        <f t="shared" si="0"/>
        <v>637.55245179883275</v>
      </c>
      <c r="C7" s="12">
        <f t="shared" si="1"/>
        <v>25.100490228300501</v>
      </c>
      <c r="D7" s="17">
        <f t="shared" si="2"/>
        <v>0.83888480499846418</v>
      </c>
      <c r="E7" s="8">
        <f>(10^(LOG10(A7/'Altitude -&gt;Pressure'!L$1)/5.2558797)-1)/(-6.8755856*10^-6)</f>
        <v>4434.6190926284225</v>
      </c>
      <c r="F7" s="8">
        <f t="shared" si="3"/>
        <v>1351.6718994331432</v>
      </c>
    </row>
    <row r="8" spans="1:6">
      <c r="A8" s="7">
        <v>800</v>
      </c>
      <c r="B8" s="8">
        <f t="shared" si="0"/>
        <v>600.0493663989015</v>
      </c>
      <c r="C8" s="12">
        <f t="shared" si="1"/>
        <v>23.623990803106356</v>
      </c>
      <c r="D8" s="17">
        <f t="shared" si="2"/>
        <v>0.78953863999855445</v>
      </c>
      <c r="E8" s="8">
        <f>(10^(LOG10(A8/'Altitude -&gt;Pressure'!L$1)/5.2558797)-1)/(-6.8755856*10^-6)</f>
        <v>6051.7443130498787</v>
      </c>
      <c r="F8" s="8">
        <f t="shared" si="3"/>
        <v>1844.5716666176031</v>
      </c>
    </row>
    <row r="9" spans="1:6">
      <c r="A9" s="5">
        <v>750</v>
      </c>
      <c r="B9" s="6">
        <f t="shared" si="0"/>
        <v>562.54628099897013</v>
      </c>
      <c r="C9" s="11">
        <f t="shared" si="1"/>
        <v>22.14749137791221</v>
      </c>
      <c r="D9" s="19">
        <f t="shared" si="2"/>
        <v>0.74019247499864482</v>
      </c>
      <c r="E9" s="6">
        <f>(10^(LOG10(A9/'Altitude -&gt;Pressure'!L$1)/5.2558797)-1)/(-6.8755856*10^-6)</f>
        <v>7752.895096620493</v>
      </c>
      <c r="F9" s="6">
        <f t="shared" si="3"/>
        <v>2363.0824254499262</v>
      </c>
    </row>
    <row r="10" spans="1:6">
      <c r="A10" s="5">
        <v>700</v>
      </c>
      <c r="B10" s="6">
        <f t="shared" si="0"/>
        <v>525.04319559903877</v>
      </c>
      <c r="C10" s="11">
        <f t="shared" si="1"/>
        <v>20.670991952718062</v>
      </c>
      <c r="D10" s="19">
        <f t="shared" si="2"/>
        <v>0.6908463099987352</v>
      </c>
      <c r="E10" s="6">
        <f>(10^(LOG10(A10/'Altitude -&gt;Pressure'!L$1)/5.2558797)-1)/(-6.8755856*10^-6)</f>
        <v>9548.5031570664742</v>
      </c>
      <c r="F10" s="6">
        <f t="shared" si="3"/>
        <v>2910.3837622738615</v>
      </c>
    </row>
    <row r="11" spans="1:6">
      <c r="A11" s="7">
        <v>650</v>
      </c>
      <c r="B11" s="8">
        <f t="shared" si="0"/>
        <v>487.5401101991074</v>
      </c>
      <c r="C11" s="12">
        <f t="shared" si="1"/>
        <v>19.194492527523913</v>
      </c>
      <c r="D11" s="17">
        <f t="shared" si="2"/>
        <v>0.64150014499882546</v>
      </c>
      <c r="E11" s="8">
        <f>(10^(LOG10(A11/'Altitude -&gt;Pressure'!L$1)/5.2558797)-1)/(-6.8755856*10^-6)</f>
        <v>11451.160177137825</v>
      </c>
      <c r="F11" s="8">
        <f t="shared" si="3"/>
        <v>3490.3136219916091</v>
      </c>
    </row>
    <row r="12" spans="1:6">
      <c r="A12" s="7">
        <v>600</v>
      </c>
      <c r="B12" s="8">
        <f t="shared" si="0"/>
        <v>450.03702479917609</v>
      </c>
      <c r="C12" s="12">
        <f t="shared" si="1"/>
        <v>17.717993102329768</v>
      </c>
      <c r="D12" s="17">
        <f t="shared" si="2"/>
        <v>0.59215397999891584</v>
      </c>
      <c r="E12" s="8">
        <f>(10^(LOG10(A12/'Altitude -&gt;Pressure'!L$1)/5.2558797)-1)/(-6.8755856*10^-6)</f>
        <v>13476.27287519898</v>
      </c>
      <c r="F12" s="8">
        <f t="shared" si="3"/>
        <v>4107.567972360649</v>
      </c>
    </row>
    <row r="13" spans="1:6">
      <c r="A13" s="5">
        <v>550</v>
      </c>
      <c r="B13" s="6">
        <f t="shared" si="0"/>
        <v>412.53393939924473</v>
      </c>
      <c r="C13" s="11">
        <f t="shared" si="1"/>
        <v>16.241493677135619</v>
      </c>
      <c r="D13" s="19">
        <f t="shared" si="2"/>
        <v>0.54280781499900621</v>
      </c>
      <c r="E13" s="6">
        <f>(10^(LOG10(A13/'Altitude -&gt;Pressure'!L$1)/5.2558797)-1)/(-6.8755856*10^-6)</f>
        <v>15642.990778593517</v>
      </c>
      <c r="F13" s="6">
        <f t="shared" si="3"/>
        <v>4767.983589315304</v>
      </c>
    </row>
    <row r="14" spans="1:6">
      <c r="A14" s="5">
        <v>500</v>
      </c>
      <c r="B14" s="6">
        <f t="shared" si="0"/>
        <v>375.03085399931342</v>
      </c>
      <c r="C14" s="11">
        <f t="shared" si="1"/>
        <v>14.764994251941472</v>
      </c>
      <c r="D14" s="19">
        <f t="shared" si="2"/>
        <v>0.49346164999909653</v>
      </c>
      <c r="E14" s="6">
        <f>(10^(LOG10(A14/'Altitude -&gt;Pressure'!L$1)/5.2558797)-1)/(-6.8755856*10^-6)</f>
        <v>17975.556963229777</v>
      </c>
      <c r="F14" s="6">
        <f t="shared" si="3"/>
        <v>5478.9497623924362</v>
      </c>
    </row>
    <row r="15" spans="1:6">
      <c r="A15" s="7">
        <v>450</v>
      </c>
      <c r="B15" s="8">
        <f t="shared" si="0"/>
        <v>337.52776859938206</v>
      </c>
      <c r="C15" s="12">
        <f t="shared" si="1"/>
        <v>13.288494826747325</v>
      </c>
      <c r="D15" s="17">
        <f t="shared" si="2"/>
        <v>0.4441154849991869</v>
      </c>
      <c r="E15" s="8">
        <f>(10^(LOG10(A15/'Altitude -&gt;Pressure'!L$1)/5.2558797)-1)/(-6.8755856*10^-6)</f>
        <v>20505.339344045107</v>
      </c>
      <c r="F15" s="8">
        <f t="shared" si="3"/>
        <v>6250.0274320649487</v>
      </c>
    </row>
    <row r="16" spans="1:6">
      <c r="A16" s="7">
        <v>400</v>
      </c>
      <c r="B16" s="8">
        <f t="shared" si="0"/>
        <v>300.02468319945075</v>
      </c>
      <c r="C16" s="12">
        <f t="shared" si="1"/>
        <v>11.811995401553178</v>
      </c>
      <c r="D16" s="17">
        <f t="shared" si="2"/>
        <v>0.39476931999927722</v>
      </c>
      <c r="E16" s="8">
        <f>(10^(LOG10(A16/'Altitude -&gt;Pressure'!L$1)/5.2558797)-1)/(-6.8755856*10^-6)</f>
        <v>23274.005775125275</v>
      </c>
      <c r="F16" s="8">
        <f t="shared" si="3"/>
        <v>7093.9169602581842</v>
      </c>
    </row>
    <row r="17" spans="1:8">
      <c r="A17" s="5">
        <v>350</v>
      </c>
      <c r="B17" s="6">
        <f t="shared" si="0"/>
        <v>262.52159779951938</v>
      </c>
      <c r="C17" s="11">
        <f t="shared" si="1"/>
        <v>10.335495976359031</v>
      </c>
      <c r="D17" s="19">
        <f t="shared" si="2"/>
        <v>0.3454231549993676</v>
      </c>
      <c r="E17" s="6">
        <f>(10^(LOG10(A17/'Altitude -&gt;Pressure'!L$1)/5.2558797)-1)/(-6.8755856*10^-6)</f>
        <v>26338.725614883249</v>
      </c>
      <c r="F17" s="6">
        <f t="shared" si="3"/>
        <v>8028.0435674164137</v>
      </c>
    </row>
    <row r="18" spans="1:8">
      <c r="A18" s="5">
        <v>300</v>
      </c>
      <c r="B18" s="6">
        <f t="shared" si="0"/>
        <v>225.01851239958805</v>
      </c>
      <c r="C18" s="11">
        <f t="shared" si="1"/>
        <v>8.8589965511648838</v>
      </c>
      <c r="D18" s="19">
        <f t="shared" si="2"/>
        <v>0.29607698999945792</v>
      </c>
      <c r="E18" s="6">
        <f>(10^(LOG10(A18/'Altitude -&gt;Pressure'!L$1)/5.2558797)-1)/(-6.8755856*10^-6)</f>
        <v>29781.203154264957</v>
      </c>
      <c r="F18" s="6">
        <f t="shared" si="3"/>
        <v>9077.310721419959</v>
      </c>
    </row>
    <row r="19" spans="1:8">
      <c r="A19" s="7">
        <v>250</v>
      </c>
      <c r="B19" s="8">
        <f t="shared" si="0"/>
        <v>187.51542699965671</v>
      </c>
      <c r="C19" s="12">
        <f t="shared" si="1"/>
        <v>7.3824971259707359</v>
      </c>
      <c r="D19" s="17">
        <f t="shared" si="2"/>
        <v>0.24673082499954826</v>
      </c>
      <c r="E19" s="8">
        <f>(10^(LOG10(A19/'Altitude -&gt;Pressure'!L$1)/5.2558797)-1)/(-6.8755856*10^-6)</f>
        <v>33724.582101569329</v>
      </c>
      <c r="F19" s="8">
        <f t="shared" si="3"/>
        <v>10279.25262455833</v>
      </c>
    </row>
    <row r="20" spans="1:8">
      <c r="A20" s="7">
        <v>200</v>
      </c>
      <c r="B20" s="8">
        <f t="shared" si="0"/>
        <v>150.01234159972537</v>
      </c>
      <c r="C20" s="12">
        <f t="shared" si="1"/>
        <v>5.9059977007765889</v>
      </c>
      <c r="D20" s="17">
        <f t="shared" si="2"/>
        <v>0.19738465999963861</v>
      </c>
      <c r="E20" s="8">
        <f>(10^(LOG10(A20/'Altitude -&gt;Pressure'!L$1)/5.2558797)-1)/(-6.8755856*10^-6)</f>
        <v>38368.385668848248</v>
      </c>
      <c r="F20" s="8">
        <f t="shared" si="3"/>
        <v>11694.683951864945</v>
      </c>
    </row>
    <row r="21" spans="1:8">
      <c r="A21" s="5">
        <v>150</v>
      </c>
      <c r="B21" s="6">
        <f t="shared" si="0"/>
        <v>112.50925619979402</v>
      </c>
      <c r="C21" s="11">
        <f t="shared" si="1"/>
        <v>4.4294982755824419</v>
      </c>
      <c r="D21" s="19">
        <f t="shared" si="2"/>
        <v>0.14803849499972896</v>
      </c>
      <c r="E21" s="6">
        <f>(10^(LOG10(A21/'Altitude -&gt;Pressure'!L$1)/5.2558797)-1)/(-6.8755856*10^-6)</f>
        <v>44071.591923175823</v>
      </c>
      <c r="F21" s="6">
        <f t="shared" si="3"/>
        <v>13433.021218183991</v>
      </c>
    </row>
    <row r="22" spans="1:8">
      <c r="A22" s="5">
        <v>100</v>
      </c>
      <c r="B22" s="6">
        <f t="shared" si="0"/>
        <v>75.006170799862687</v>
      </c>
      <c r="C22" s="11">
        <f t="shared" si="1"/>
        <v>2.9529988503882945</v>
      </c>
      <c r="D22" s="19">
        <f t="shared" si="2"/>
        <v>9.8692329999819306E-2</v>
      </c>
      <c r="E22" s="6">
        <f>(10^(LOG10(A22/'Altitude -&gt;Pressure'!L$1)/5.2558797)-1)/(-6.8755856*10^-6)</f>
        <v>51597.792554683132</v>
      </c>
      <c r="F22" s="6">
        <f t="shared" si="3"/>
        <v>15727.007170667419</v>
      </c>
    </row>
    <row r="23" spans="1:8">
      <c r="A23" s="5">
        <v>50</v>
      </c>
      <c r="B23" s="6">
        <f t="shared" si="0"/>
        <v>37.503085399931344</v>
      </c>
      <c r="C23" s="11">
        <f t="shared" si="1"/>
        <v>1.4764994251941472</v>
      </c>
      <c r="D23" s="19">
        <f t="shared" si="2"/>
        <v>4.9346164999909653E-2</v>
      </c>
      <c r="E23" s="6">
        <f>(10^(LOG10(A23/'Altitude -&gt;Pressure'!L$1)/5.2558797)-1)/(-6.8755856*10^-6)</f>
        <v>63192.651554075128</v>
      </c>
      <c r="F23" s="6">
        <f t="shared" si="3"/>
        <v>19261.120193682102</v>
      </c>
    </row>
    <row r="24" spans="1:8" ht="13.8" thickBot="1">
      <c r="A24" s="9">
        <v>25</v>
      </c>
      <c r="B24" s="10">
        <f t="shared" si="0"/>
        <v>18.751542699965672</v>
      </c>
      <c r="C24" s="13">
        <f t="shared" si="1"/>
        <v>0.73824971259707362</v>
      </c>
      <c r="D24" s="20">
        <f t="shared" si="2"/>
        <v>2.4673082499954826E-2</v>
      </c>
      <c r="E24" s="10">
        <f>(10^(LOG10(A24/'Altitude -&gt;Pressure'!L$1)/5.2558797)-1)/(-6.8755856*10^-6)</f>
        <v>73354.917812567117</v>
      </c>
      <c r="F24" s="10">
        <f t="shared" si="3"/>
        <v>22358.578949270457</v>
      </c>
    </row>
    <row r="25" spans="1:8" ht="13.8" thickTop="1"/>
    <row r="26" spans="1:8">
      <c r="A26" s="5">
        <v>1000.35</v>
      </c>
      <c r="B26" s="6">
        <f t="shared" si="0"/>
        <v>750.32422959642633</v>
      </c>
      <c r="C26" s="11">
        <f t="shared" si="1"/>
        <v>29.540323999859304</v>
      </c>
      <c r="D26" s="19">
        <f t="shared" ref="D26:D27" si="4">CONVERT(A26,"hPa","atm")</f>
        <v>0.98726872315319247</v>
      </c>
      <c r="E26" s="6">
        <f>(10^(LOG10(A26/'Altitude -&gt;Pressure'!L$1)/5.2558797)-1)/(-6.8755856*10^-6)</f>
        <v>-3.3197483691232121</v>
      </c>
      <c r="F26" s="6">
        <f t="shared" si="3"/>
        <v>-1.011859302908755</v>
      </c>
    </row>
    <row r="27" spans="1:8">
      <c r="A27" s="5">
        <v>660.2</v>
      </c>
      <c r="B27" s="6">
        <f t="shared" si="0"/>
        <v>495.19073962069342</v>
      </c>
      <c r="C27" s="11">
        <f t="shared" si="1"/>
        <v>19.495698410263518</v>
      </c>
      <c r="D27" s="19">
        <f t="shared" si="4"/>
        <v>0.65156676265880709</v>
      </c>
      <c r="E27" s="6">
        <f>(10^(LOG10(A27/'Altitude -&gt;Pressure'!L$1)/5.2558797)-1)/(-6.8755856*10^-6)</f>
        <v>11053.625515020445</v>
      </c>
      <c r="F27" s="6">
        <f t="shared" si="3"/>
        <v>3369.1450569782314</v>
      </c>
      <c r="G27">
        <v>2</v>
      </c>
      <c r="H27">
        <f>LOG10(G27)</f>
        <v>0.3010299956639812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3"/>
  <sheetViews>
    <sheetView workbookViewId="0">
      <selection activeCell="L2" sqref="L2"/>
    </sheetView>
  </sheetViews>
  <sheetFormatPr defaultRowHeight="13.2"/>
  <cols>
    <col min="1" max="1" width="9" customWidth="1"/>
    <col min="2" max="2" width="9.33203125" style="1" customWidth="1"/>
    <col min="3" max="3" width="10.109375" style="4" customWidth="1"/>
    <col min="4" max="4" width="8.88671875" style="1" customWidth="1"/>
    <col min="5" max="5" width="8.88671875" style="4" customWidth="1"/>
    <col min="6" max="6" width="8.88671875" style="18" customWidth="1"/>
    <col min="7" max="7" width="12.44140625" bestFit="1" customWidth="1"/>
    <col min="10" max="10" width="46.5546875" customWidth="1"/>
  </cols>
  <sheetData>
    <row r="1" spans="1:12" ht="26.4">
      <c r="A1" s="15" t="s">
        <v>2</v>
      </c>
      <c r="B1" s="15" t="s">
        <v>3</v>
      </c>
      <c r="C1" s="21" t="s">
        <v>4</v>
      </c>
      <c r="D1" s="15" t="s">
        <v>5</v>
      </c>
      <c r="E1" s="21" t="s">
        <v>6</v>
      </c>
      <c r="F1" s="16" t="s">
        <v>7</v>
      </c>
      <c r="J1" t="s">
        <v>24</v>
      </c>
      <c r="L1">
        <v>1000.23</v>
      </c>
    </row>
    <row r="2" spans="1:12">
      <c r="A2" s="7">
        <v>0</v>
      </c>
      <c r="B2" s="8">
        <f t="shared" ref="B2:B33" si="0">CONVERT(A2,"ft","m")</f>
        <v>0</v>
      </c>
      <c r="C2" s="12">
        <f t="shared" ref="C2:C41" si="1">$L$1*(1-6.87535*10^(-6)*A2)^5.2561</f>
        <v>1000.23</v>
      </c>
      <c r="D2" s="8">
        <f t="shared" ref="D2:D33" si="2">CONVERT(C2,"hPa","mmHg")</f>
        <v>750.23422219146653</v>
      </c>
      <c r="E2" s="12">
        <f t="shared" ref="E2:E33" si="3">CONVERT(D2,"mm","in")</f>
        <v>29.53678040123884</v>
      </c>
      <c r="F2" s="17">
        <f t="shared" ref="F2:F33" si="4">CONVERT(C2,"hPa","atm")</f>
        <v>0.98715029235719265</v>
      </c>
    </row>
    <row r="3" spans="1:12">
      <c r="A3" s="7">
        <v>1000</v>
      </c>
      <c r="B3" s="8">
        <f t="shared" si="0"/>
        <v>304.8</v>
      </c>
      <c r="C3" s="12">
        <f t="shared" si="1"/>
        <v>964.60908303281292</v>
      </c>
      <c r="D3" s="8">
        <f t="shared" si="2"/>
        <v>723.51633637058092</v>
      </c>
      <c r="E3" s="12">
        <f t="shared" si="3"/>
        <v>28.484895132700039</v>
      </c>
      <c r="F3" s="17">
        <f t="shared" si="4"/>
        <v>0.9519951794349748</v>
      </c>
    </row>
    <row r="4" spans="1:12">
      <c r="A4" s="5">
        <v>2000</v>
      </c>
      <c r="B4" s="6">
        <f t="shared" si="0"/>
        <v>609.6</v>
      </c>
      <c r="C4" s="11">
        <f t="shared" si="1"/>
        <v>930.02240678308033</v>
      </c>
      <c r="D4" s="6">
        <f t="shared" si="2"/>
        <v>697.57419490871098</v>
      </c>
      <c r="E4" s="11">
        <f t="shared" si="3"/>
        <v>27.46355098065791</v>
      </c>
      <c r="F4" s="19">
        <f t="shared" si="4"/>
        <v>0.91786078277461958</v>
      </c>
    </row>
    <row r="5" spans="1:12">
      <c r="A5" s="5">
        <v>3000</v>
      </c>
      <c r="B5" s="6">
        <f t="shared" si="0"/>
        <v>914.4</v>
      </c>
      <c r="C5" s="11">
        <f t="shared" si="1"/>
        <v>896.44683954702487</v>
      </c>
      <c r="D5" s="6">
        <f t="shared" si="2"/>
        <v>672.39044760061245</v>
      </c>
      <c r="E5" s="11">
        <f t="shared" si="3"/>
        <v>26.472064866165844</v>
      </c>
      <c r="F5" s="19">
        <f t="shared" si="4"/>
        <v>0.8847242731587005</v>
      </c>
    </row>
    <row r="6" spans="1:12">
      <c r="A6" s="7">
        <v>4000</v>
      </c>
      <c r="B6" s="8">
        <f t="shared" si="0"/>
        <v>1219.2</v>
      </c>
      <c r="C6" s="12">
        <f t="shared" si="1"/>
        <v>863.85961058037014</v>
      </c>
      <c r="D6" s="8">
        <f t="shared" si="2"/>
        <v>647.94801498294112</v>
      </c>
      <c r="E6" s="12">
        <f t="shared" si="3"/>
        <v>25.509764369407133</v>
      </c>
      <c r="F6" s="17">
        <f t="shared" si="4"/>
        <v>0.85256317760913303</v>
      </c>
    </row>
    <row r="7" spans="1:12">
      <c r="A7" s="7">
        <v>5000</v>
      </c>
      <c r="B7" s="8">
        <f t="shared" si="0"/>
        <v>1524</v>
      </c>
      <c r="C7" s="12">
        <f t="shared" si="1"/>
        <v>832.23830694042965</v>
      </c>
      <c r="D7" s="8">
        <f t="shared" si="2"/>
        <v>624.23008596562408</v>
      </c>
      <c r="E7" s="12">
        <f t="shared" si="3"/>
        <v>24.575987636441891</v>
      </c>
      <c r="F7" s="17">
        <f t="shared" si="4"/>
        <v>0.82135537627055788</v>
      </c>
    </row>
    <row r="8" spans="1:12">
      <c r="A8" s="5">
        <v>6000</v>
      </c>
      <c r="B8" s="6">
        <f t="shared" si="0"/>
        <v>1828.8</v>
      </c>
      <c r="C8" s="11">
        <f t="shared" si="1"/>
        <v>801.56087033386041</v>
      </c>
      <c r="D8" s="6">
        <f t="shared" si="2"/>
        <v>601.22011546748115</v>
      </c>
      <c r="E8" s="11">
        <f t="shared" si="3"/>
        <v>23.670083286121304</v>
      </c>
      <c r="F8" s="19">
        <f t="shared" si="4"/>
        <v>0.79107909929931719</v>
      </c>
    </row>
    <row r="9" spans="1:12">
      <c r="A9" s="5">
        <v>7000</v>
      </c>
      <c r="B9" s="6">
        <f t="shared" si="0"/>
        <v>2133.6</v>
      </c>
      <c r="C9" s="11">
        <f t="shared" si="1"/>
        <v>771.80559397012598</v>
      </c>
      <c r="D9" s="6">
        <f t="shared" si="2"/>
        <v>578.90182205612734</v>
      </c>
      <c r="E9" s="11">
        <f t="shared" si="3"/>
        <v>22.791410317170367</v>
      </c>
      <c r="F9" s="19">
        <f t="shared" si="4"/>
        <v>0.76171292375806221</v>
      </c>
    </row>
    <row r="10" spans="1:12">
      <c r="A10" s="7">
        <v>8000</v>
      </c>
      <c r="B10" s="8">
        <f t="shared" si="0"/>
        <v>2438.4</v>
      </c>
      <c r="C10" s="12">
        <f t="shared" si="1"/>
        <v>742.95111942068468</v>
      </c>
      <c r="D10" s="8">
        <f t="shared" si="2"/>
        <v>557.25918559217052</v>
      </c>
      <c r="E10" s="12">
        <f t="shared" si="3"/>
        <v>21.939338015439784</v>
      </c>
      <c r="F10" s="17">
        <f t="shared" si="4"/>
        <v>0.73323577051601374</v>
      </c>
    </row>
    <row r="11" spans="1:12">
      <c r="A11" s="7">
        <v>9000</v>
      </c>
      <c r="B11" s="8">
        <f t="shared" si="0"/>
        <v>2743.2</v>
      </c>
      <c r="C11" s="12">
        <f t="shared" si="1"/>
        <v>714.97643348394888</v>
      </c>
      <c r="D11" s="8">
        <f t="shared" si="2"/>
        <v>536.27644487773728</v>
      </c>
      <c r="E11" s="12">
        <f t="shared" si="3"/>
        <v>21.113245861328238</v>
      </c>
      <c r="F11" s="17">
        <f t="shared" si="4"/>
        <v>0.70562690115491744</v>
      </c>
    </row>
    <row r="12" spans="1:12">
      <c r="A12" s="5">
        <v>10000</v>
      </c>
      <c r="B12" s="6">
        <f t="shared" si="0"/>
        <v>3048</v>
      </c>
      <c r="C12" s="11">
        <f t="shared" si="1"/>
        <v>687.86086505602998</v>
      </c>
      <c r="D12" s="6">
        <f t="shared" si="2"/>
        <v>515.93809530933879</v>
      </c>
      <c r="E12" s="11">
        <f t="shared" si="3"/>
        <v>20.312523437375543</v>
      </c>
      <c r="F12" s="19">
        <f t="shared" si="4"/>
        <v>0.67886591488070891</v>
      </c>
    </row>
    <row r="13" spans="1:12">
      <c r="A13" s="5">
        <v>11000</v>
      </c>
      <c r="B13" s="6">
        <f t="shared" si="0"/>
        <v>3352.8</v>
      </c>
      <c r="C13" s="11">
        <f t="shared" si="1"/>
        <v>661.58408200731662</v>
      </c>
      <c r="D13" s="6">
        <f t="shared" si="2"/>
        <v>496.22888653511149</v>
      </c>
      <c r="E13" s="11">
        <f t="shared" si="3"/>
        <v>19.536570336028014</v>
      </c>
      <c r="F13" s="19">
        <f t="shared" si="4"/>
        <v>0.65293274544093616</v>
      </c>
    </row>
    <row r="14" spans="1:12">
      <c r="A14" s="7">
        <v>12000</v>
      </c>
      <c r="B14" s="8">
        <f t="shared" si="0"/>
        <v>3657.6</v>
      </c>
      <c r="C14" s="12">
        <f t="shared" si="1"/>
        <v>636.12608806490221</v>
      </c>
      <c r="D14" s="8">
        <f t="shared" si="2"/>
        <v>477.13382011644546</v>
      </c>
      <c r="E14" s="12">
        <f t="shared" si="3"/>
        <v>18.784796067576593</v>
      </c>
      <c r="F14" s="17">
        <f t="shared" si="4"/>
        <v>0.62780765804795446</v>
      </c>
    </row>
    <row r="15" spans="1:12">
      <c r="A15" s="7">
        <v>13000</v>
      </c>
      <c r="B15" s="8">
        <f t="shared" si="0"/>
        <v>3962.4</v>
      </c>
      <c r="C15" s="12">
        <f t="shared" si="1"/>
        <v>611.46721970090937</v>
      </c>
      <c r="D15" s="8">
        <f t="shared" si="2"/>
        <v>458.63814719403564</v>
      </c>
      <c r="E15" s="12">
        <f t="shared" si="3"/>
        <v>18.056619968269118</v>
      </c>
      <c r="F15" s="17">
        <f t="shared" si="4"/>
        <v>0.60347124630794158</v>
      </c>
    </row>
    <row r="16" spans="1:12">
      <c r="A16" s="5">
        <v>14000</v>
      </c>
      <c r="B16" s="6">
        <f t="shared" si="0"/>
        <v>4267.2</v>
      </c>
      <c r="C16" s="11">
        <f t="shared" si="1"/>
        <v>587.58814302672886</v>
      </c>
      <c r="D16" s="6">
        <f t="shared" si="2"/>
        <v>440.72736615836965</v>
      </c>
      <c r="E16" s="11">
        <f t="shared" si="3"/>
        <v>17.351471108597231</v>
      </c>
      <c r="F16" s="19">
        <f t="shared" si="4"/>
        <v>0.57990442915574958</v>
      </c>
      <c r="G16" s="1"/>
    </row>
    <row r="17" spans="1:14">
      <c r="A17" s="5">
        <v>15000</v>
      </c>
      <c r="B17" s="6">
        <f t="shared" si="0"/>
        <v>4572</v>
      </c>
      <c r="C17" s="11">
        <f t="shared" si="1"/>
        <v>564.46985069321966</v>
      </c>
      <c r="D17" s="6">
        <f t="shared" si="2"/>
        <v>423.38722032468615</v>
      </c>
      <c r="E17" s="11">
        <f t="shared" si="3"/>
        <v>16.668788201759298</v>
      </c>
      <c r="F17" s="19">
        <f t="shared" si="4"/>
        <v>0.55708844779563971</v>
      </c>
      <c r="G17" s="1"/>
      <c r="J17" s="2" t="s">
        <v>0</v>
      </c>
    </row>
    <row r="18" spans="1:14">
      <c r="A18" s="7">
        <v>16000</v>
      </c>
      <c r="B18" s="8">
        <f t="shared" si="0"/>
        <v>4876.8</v>
      </c>
      <c r="C18" s="12">
        <f t="shared" si="1"/>
        <v>542.09365879689074</v>
      </c>
      <c r="D18" s="8">
        <f t="shared" si="2"/>
        <v>406.60369561242072</v>
      </c>
      <c r="E18" s="12">
        <f t="shared" si="3"/>
        <v>16.008019512300027</v>
      </c>
      <c r="F18" s="17">
        <f t="shared" si="4"/>
        <v>0.53500486264792191</v>
      </c>
      <c r="G18" s="1"/>
      <c r="J18" s="39" t="s">
        <v>1</v>
      </c>
      <c r="K18" s="40"/>
      <c r="L18" s="40"/>
      <c r="M18" s="40"/>
      <c r="N18" s="40"/>
    </row>
    <row r="19" spans="1:14">
      <c r="A19" s="7">
        <v>17000</v>
      </c>
      <c r="B19" s="8">
        <f t="shared" si="0"/>
        <v>5181.6000000000004</v>
      </c>
      <c r="C19" s="12">
        <f t="shared" si="1"/>
        <v>520.44120379211199</v>
      </c>
      <c r="D19" s="8">
        <f t="shared" si="2"/>
        <v>390.36301822917295</v>
      </c>
      <c r="E19" s="12">
        <f t="shared" si="3"/>
        <v>15.36862276492807</v>
      </c>
      <c r="F19" s="17">
        <f t="shared" si="4"/>
        <v>0.51363555030154329</v>
      </c>
    </row>
    <row r="20" spans="1:14">
      <c r="A20" s="5">
        <v>18000</v>
      </c>
      <c r="B20" s="6">
        <f t="shared" si="0"/>
        <v>5486.4</v>
      </c>
      <c r="C20" s="11">
        <f t="shared" si="1"/>
        <v>499.49443940937414</v>
      </c>
      <c r="D20" s="6">
        <f t="shared" si="2"/>
        <v>374.65165235921182</v>
      </c>
      <c r="E20" s="11">
        <f t="shared" si="3"/>
        <v>14.750065053512277</v>
      </c>
      <c r="F20" s="19">
        <f t="shared" si="4"/>
        <v>0.49296270047264706</v>
      </c>
    </row>
    <row r="21" spans="1:14">
      <c r="A21" s="5">
        <v>19000</v>
      </c>
      <c r="B21" s="6">
        <f t="shared" si="0"/>
        <v>5791.2</v>
      </c>
      <c r="C21" s="11">
        <f t="shared" si="1"/>
        <v>479.23563357964611</v>
      </c>
      <c r="D21" s="6">
        <f t="shared" si="2"/>
        <v>359.45629785655342</v>
      </c>
      <c r="E21" s="11">
        <f t="shared" si="3"/>
        <v>14.151822750258008</v>
      </c>
      <c r="F21" s="19">
        <f t="shared" si="4"/>
        <v>0.47296881296914922</v>
      </c>
      <c r="G21" s="1"/>
    </row>
    <row r="22" spans="1:14">
      <c r="A22" s="7">
        <v>20000</v>
      </c>
      <c r="B22" s="8">
        <f t="shared" si="0"/>
        <v>6096</v>
      </c>
      <c r="C22" s="12">
        <f t="shared" si="1"/>
        <v>459.64736536485339</v>
      </c>
      <c r="D22" s="8">
        <f t="shared" si="2"/>
        <v>344.76388794263079</v>
      </c>
      <c r="E22" s="12">
        <f t="shared" si="3"/>
        <v>13.573381415064203</v>
      </c>
      <c r="F22" s="17">
        <f t="shared" si="4"/>
        <v>0.45363669466135625</v>
      </c>
      <c r="G22" s="1"/>
    </row>
    <row r="23" spans="1:14">
      <c r="A23" s="7">
        <v>21000</v>
      </c>
      <c r="B23" s="8">
        <f t="shared" si="0"/>
        <v>6400.8</v>
      </c>
      <c r="C23" s="12">
        <f t="shared" si="1"/>
        <v>440.71252189452315</v>
      </c>
      <c r="D23" s="8">
        <f t="shared" si="2"/>
        <v>330.56158690858825</v>
      </c>
      <c r="E23" s="12">
        <f t="shared" si="3"/>
        <v>13.01423570506253</v>
      </c>
      <c r="F23" s="17">
        <f t="shared" si="4"/>
        <v>0.43494945645866873</v>
      </c>
      <c r="G23" s="1"/>
    </row>
    <row r="24" spans="1:14">
      <c r="A24" s="5">
        <v>22000</v>
      </c>
      <c r="B24" s="6">
        <f t="shared" si="0"/>
        <v>6705.6</v>
      </c>
      <c r="C24" s="11">
        <f t="shared" si="1"/>
        <v>422.41429530862337</v>
      </c>
      <c r="D24" s="6">
        <f t="shared" si="2"/>
        <v>316.83678782222233</v>
      </c>
      <c r="E24" s="11">
        <f t="shared" si="3"/>
        <v>12.473889284339462</v>
      </c>
      <c r="F24" s="19">
        <f t="shared" si="4"/>
        <v>0.41689051029239782</v>
      </c>
      <c r="G24" s="1"/>
    </row>
    <row r="25" spans="1:14">
      <c r="A25" s="5">
        <v>23000</v>
      </c>
      <c r="B25" s="6">
        <f t="shared" si="0"/>
        <v>7010.4</v>
      </c>
      <c r="C25" s="11">
        <f t="shared" si="1"/>
        <v>404.7361797066398</v>
      </c>
      <c r="D25" s="6">
        <f t="shared" si="2"/>
        <v>303.57711023960144</v>
      </c>
      <c r="E25" s="11">
        <f t="shared" si="3"/>
        <v>11.951854733842575</v>
      </c>
      <c r="F25" s="19">
        <f t="shared" si="4"/>
        <v>0.39944356610473869</v>
      </c>
      <c r="G25" s="1"/>
    </row>
    <row r="26" spans="1:14">
      <c r="A26" s="7">
        <v>24000</v>
      </c>
      <c r="B26" s="8">
        <f t="shared" si="0"/>
        <v>7315.2</v>
      </c>
      <c r="C26" s="12">
        <f t="shared" si="1"/>
        <v>387.6619681029249</v>
      </c>
      <c r="D26" s="8">
        <f t="shared" si="2"/>
        <v>290.77039792138902</v>
      </c>
      <c r="E26" s="12">
        <f t="shared" si="3"/>
        <v>11.447653461472008</v>
      </c>
      <c r="F26" s="17">
        <f t="shared" si="4"/>
        <v>0.38259262884393291</v>
      </c>
      <c r="G26" s="1"/>
    </row>
    <row r="27" spans="1:14">
      <c r="A27" s="7">
        <v>25000</v>
      </c>
      <c r="B27" s="8">
        <f t="shared" si="0"/>
        <v>7620</v>
      </c>
      <c r="C27" s="12">
        <f t="shared" si="1"/>
        <v>371.17574938835503</v>
      </c>
      <c r="D27" s="8">
        <f t="shared" si="2"/>
        <v>278.40471655389985</v>
      </c>
      <c r="E27" s="12">
        <f t="shared" si="3"/>
        <v>10.960815612358262</v>
      </c>
      <c r="F27" s="17">
        <f t="shared" si="4"/>
        <v>0.36632199546565763</v>
      </c>
      <c r="G27" s="1"/>
    </row>
    <row r="28" spans="1:14">
      <c r="A28" s="5">
        <v>26000</v>
      </c>
      <c r="B28" s="6">
        <f t="shared" si="0"/>
        <v>7924.8</v>
      </c>
      <c r="C28" s="11">
        <f t="shared" si="1"/>
        <v>355.26190529833707</v>
      </c>
      <c r="D28" s="6">
        <f t="shared" si="2"/>
        <v>266.46835147491714</v>
      </c>
      <c r="E28" s="11">
        <f t="shared" si="3"/>
        <v>10.490879979327445</v>
      </c>
      <c r="F28" s="19">
        <f t="shared" si="4"/>
        <v>0.35061625194068041</v>
      </c>
    </row>
    <row r="29" spans="1:14">
      <c r="A29" s="5">
        <v>27000</v>
      </c>
      <c r="B29" s="6">
        <f t="shared" si="0"/>
        <v>8229.6</v>
      </c>
      <c r="C29" s="11">
        <f t="shared" si="1"/>
        <v>339.90510738720212</v>
      </c>
      <c r="D29" s="6">
        <f t="shared" si="2"/>
        <v>254.94980540430151</v>
      </c>
      <c r="E29" s="11">
        <f t="shared" si="3"/>
        <v>10.037393913555178</v>
      </c>
      <c r="F29" s="19">
        <f t="shared" si="4"/>
        <v>0.33546027026881775</v>
      </c>
    </row>
    <row r="30" spans="1:14">
      <c r="A30" s="7">
        <v>28000</v>
      </c>
      <c r="B30" s="8">
        <f t="shared" si="0"/>
        <v>8534.4</v>
      </c>
      <c r="C30" s="12">
        <f t="shared" si="1"/>
        <v>325.0903140090262</v>
      </c>
      <c r="D30" s="8">
        <f t="shared" si="2"/>
        <v>243.83779617942011</v>
      </c>
      <c r="E30" s="12">
        <f t="shared" si="3"/>
        <v>9.5999132354102397</v>
      </c>
      <c r="F30" s="17">
        <f t="shared" si="4"/>
        <v>0.32083920549923695</v>
      </c>
    </row>
    <row r="31" spans="1:14">
      <c r="A31" s="7">
        <v>29000</v>
      </c>
      <c r="B31" s="8">
        <f t="shared" si="0"/>
        <v>8839.2000000000007</v>
      </c>
      <c r="C31" s="12">
        <f t="shared" si="1"/>
        <v>310.80276730491624</v>
      </c>
      <c r="D31" s="8">
        <f t="shared" si="2"/>
        <v>233.12125449542523</v>
      </c>
      <c r="E31" s="12">
        <f t="shared" si="3"/>
        <v>9.1780021454891827</v>
      </c>
      <c r="F31" s="17">
        <f t="shared" si="4"/>
        <v>0.30673849275713844</v>
      </c>
    </row>
    <row r="32" spans="1:14">
      <c r="A32" s="5">
        <v>30000</v>
      </c>
      <c r="B32" s="6">
        <f t="shared" si="0"/>
        <v>9144</v>
      </c>
      <c r="C32" s="11">
        <f t="shared" si="1"/>
        <v>297.02799019680396</v>
      </c>
      <c r="D32" s="6">
        <f t="shared" si="2"/>
        <v>222.78932165041414</v>
      </c>
      <c r="E32" s="11">
        <f t="shared" si="3"/>
        <v>8.771233135843076</v>
      </c>
      <c r="F32" s="19">
        <f t="shared" si="4"/>
        <v>0.29314384427686069</v>
      </c>
    </row>
    <row r="33" spans="1:6">
      <c r="A33" s="5">
        <v>31000</v>
      </c>
      <c r="B33" s="6">
        <f t="shared" si="0"/>
        <v>9448.7999999999993</v>
      </c>
      <c r="C33" s="11">
        <f t="shared" si="1"/>
        <v>283.75178338778733</v>
      </c>
      <c r="D33" s="6">
        <f t="shared" si="2"/>
        <v>212.83134729550014</v>
      </c>
      <c r="E33" s="11">
        <f t="shared" si="3"/>
        <v>8.3791869013976434</v>
      </c>
      <c r="F33" s="19">
        <f t="shared" si="4"/>
        <v>0.28004124644144751</v>
      </c>
    </row>
    <row r="34" spans="1:6">
      <c r="A34" s="7">
        <v>32000</v>
      </c>
      <c r="B34" s="8">
        <f t="shared" ref="B34:B65" si="5">CONVERT(A34,"ft","m")</f>
        <v>9753.6</v>
      </c>
      <c r="C34" s="12">
        <f t="shared" si="1"/>
        <v>270.96022236906373</v>
      </c>
      <c r="D34" s="8">
        <f t="shared" ref="D34:D65" si="6">CONVERT(C34,"hPa","mmHg")</f>
        <v>203.23688718982768</v>
      </c>
      <c r="E34" s="12">
        <f t="shared" ref="E34:E65" si="7">CONVERT(D34,"mm","in")</f>
        <v>8.0014522515680184</v>
      </c>
      <c r="F34" s="17">
        <f t="shared" ref="F34:F65" si="8">CONVERT(C34,"hPa","atm")</f>
        <v>0.26741695682872063</v>
      </c>
    </row>
    <row r="35" spans="1:6">
      <c r="A35" s="7">
        <v>33000</v>
      </c>
      <c r="B35" s="8">
        <f t="shared" si="5"/>
        <v>10058.4</v>
      </c>
      <c r="C35" s="12">
        <f t="shared" si="1"/>
        <v>258.63965443349349</v>
      </c>
      <c r="D35" s="8">
        <f t="shared" si="6"/>
        <v>193.99570096056073</v>
      </c>
      <c r="E35" s="12">
        <f t="shared" si="7"/>
        <v>7.6376260220693197</v>
      </c>
      <c r="F35" s="17">
        <f t="shared" si="8"/>
        <v>0.25525750126389568</v>
      </c>
    </row>
    <row r="36" spans="1:6">
      <c r="A36" s="5">
        <v>34000</v>
      </c>
      <c r="B36" s="6">
        <f t="shared" si="5"/>
        <v>10363.200000000001</v>
      </c>
      <c r="C36" s="11">
        <f t="shared" si="1"/>
        <v>246.77669569583955</v>
      </c>
      <c r="D36" s="6">
        <f t="shared" si="6"/>
        <v>185.0977498678788</v>
      </c>
      <c r="E36" s="11">
        <f t="shared" si="7"/>
        <v>7.2873129869243618</v>
      </c>
      <c r="F36" s="19">
        <f t="shared" si="8"/>
        <v>0.24354967087878787</v>
      </c>
    </row>
    <row r="37" spans="1:6">
      <c r="A37" s="5">
        <v>35000</v>
      </c>
      <c r="B37" s="6">
        <f t="shared" si="5"/>
        <v>10668</v>
      </c>
      <c r="C37" s="11">
        <f t="shared" si="1"/>
        <v>235.35822811972727</v>
      </c>
      <c r="D37" s="6">
        <f t="shared" si="6"/>
        <v>176.53319457501308</v>
      </c>
      <c r="E37" s="11">
        <f t="shared" si="7"/>
        <v>6.950125770669807</v>
      </c>
      <c r="F37" s="19">
        <f t="shared" si="8"/>
        <v>0.23228051917764878</v>
      </c>
    </row>
    <row r="38" spans="1:6">
      <c r="A38" s="7">
        <v>36000</v>
      </c>
      <c r="B38" s="8">
        <f t="shared" si="5"/>
        <v>10972.8</v>
      </c>
      <c r="C38" s="12">
        <f t="shared" si="1"/>
        <v>224.37139655136744</v>
      </c>
      <c r="D38" s="8">
        <f t="shared" si="6"/>
        <v>168.29239292335586</v>
      </c>
      <c r="E38" s="12">
        <f t="shared" si="7"/>
        <v>6.6256847607620424</v>
      </c>
      <c r="F38" s="17">
        <f t="shared" si="8"/>
        <v>0.22143735910967874</v>
      </c>
    </row>
    <row r="39" spans="1:6">
      <c r="A39" s="7">
        <v>37000</v>
      </c>
      <c r="B39" s="8">
        <f t="shared" si="5"/>
        <v>11277.6</v>
      </c>
      <c r="C39" s="12">
        <f t="shared" si="1"/>
        <v>213.80360576008701</v>
      </c>
      <c r="D39" s="8">
        <f t="shared" si="6"/>
        <v>160.36589771267592</v>
      </c>
      <c r="E39" s="12">
        <f t="shared" si="7"/>
        <v>6.3136180201840908</v>
      </c>
      <c r="F39" s="17">
        <f t="shared" si="8"/>
        <v>0.21100776014825776</v>
      </c>
    </row>
    <row r="40" spans="1:6">
      <c r="A40" s="5">
        <v>38000</v>
      </c>
      <c r="B40" s="6">
        <f t="shared" si="5"/>
        <v>11582.4</v>
      </c>
      <c r="C40" s="11">
        <f t="shared" si="1"/>
        <v>203.64251748571607</v>
      </c>
      <c r="D40" s="6">
        <f t="shared" si="6"/>
        <v>152.7444544864764</v>
      </c>
      <c r="E40" s="11">
        <f t="shared" si="7"/>
        <v>6.0135612002549763</v>
      </c>
      <c r="F40" s="19">
        <f t="shared" si="8"/>
        <v>0.20097954537694263</v>
      </c>
    </row>
    <row r="41" spans="1:6">
      <c r="A41" s="5">
        <v>39000</v>
      </c>
      <c r="B41" s="6">
        <f t="shared" si="5"/>
        <v>11887.2</v>
      </c>
      <c r="C41" s="11">
        <f t="shared" si="1"/>
        <v>193.87604749287439</v>
      </c>
      <c r="D41" s="6">
        <f t="shared" si="6"/>
        <v>145.41899932252826</v>
      </c>
      <c r="E41" s="11">
        <f t="shared" si="7"/>
        <v>5.7251574536428453</v>
      </c>
      <c r="F41" s="19">
        <f t="shared" si="8"/>
        <v>0.19134078858227399</v>
      </c>
    </row>
    <row r="42" spans="1:6">
      <c r="A42" s="7">
        <v>40000</v>
      </c>
      <c r="B42" s="8">
        <f t="shared" si="5"/>
        <v>12192</v>
      </c>
      <c r="C42" s="12">
        <f t="shared" ref="C42:C68" si="9">$L$1*(1-6.87535*10^(-6)*A42)^5.2561</f>
        <v>184.49236263220791</v>
      </c>
      <c r="D42" s="8">
        <f t="shared" si="6"/>
        <v>138.3806566286159</v>
      </c>
      <c r="E42" s="12">
        <f t="shared" si="7"/>
        <v>5.448057347583303</v>
      </c>
      <c r="F42" s="17">
        <f t="shared" si="8"/>
        <v>0.18207981135344195</v>
      </c>
    </row>
    <row r="43" spans="1:6">
      <c r="A43" s="7">
        <v>41000</v>
      </c>
      <c r="B43" s="8">
        <f t="shared" si="5"/>
        <v>12496.8</v>
      </c>
      <c r="C43" s="12">
        <f t="shared" si="9"/>
        <v>175.47987790861973</v>
      </c>
      <c r="D43" s="8">
        <f t="shared" si="6"/>
        <v>131.62073694352981</v>
      </c>
      <c r="E43" s="12">
        <f t="shared" si="7"/>
        <v>5.1819187773043227</v>
      </c>
      <c r="F43" s="17">
        <f t="shared" si="8"/>
        <v>0.17318518018885498</v>
      </c>
    </row>
    <row r="44" spans="1:6">
      <c r="A44" s="5">
        <v>42000</v>
      </c>
      <c r="B44" s="6">
        <f t="shared" si="5"/>
        <v>12801.6</v>
      </c>
      <c r="C44" s="11">
        <f t="shared" si="9"/>
        <v>166.82725355654813</v>
      </c>
      <c r="D44" s="6">
        <f t="shared" si="6"/>
        <v>125.13073474334448</v>
      </c>
      <c r="E44" s="11">
        <f t="shared" si="7"/>
        <v>4.9264068796592309</v>
      </c>
      <c r="F44" s="19">
        <f t="shared" si="8"/>
        <v>0.16464570360966377</v>
      </c>
    </row>
    <row r="45" spans="1:6">
      <c r="A45" s="5">
        <v>43000</v>
      </c>
      <c r="B45" s="6">
        <f t="shared" si="5"/>
        <v>13106.4</v>
      </c>
      <c r="C45" s="11">
        <f t="shared" si="9"/>
        <v>158.52339212233883</v>
      </c>
      <c r="D45" s="6">
        <f t="shared" si="6"/>
        <v>118.90232625301752</v>
      </c>
      <c r="E45" s="11">
        <f t="shared" si="7"/>
        <v>4.6811939469691941</v>
      </c>
      <c r="F45" s="19">
        <f t="shared" si="8"/>
        <v>0.15645042928028621</v>
      </c>
    </row>
    <row r="46" spans="1:6">
      <c r="A46" s="7">
        <v>44000</v>
      </c>
      <c r="B46" s="8">
        <f t="shared" si="5"/>
        <v>13411.2</v>
      </c>
      <c r="C46" s="12">
        <f t="shared" si="9"/>
        <v>150.5574355537625</v>
      </c>
      <c r="D46" s="8">
        <f t="shared" si="6"/>
        <v>112.92736726334829</v>
      </c>
      <c r="E46" s="12">
        <f t="shared" si="7"/>
        <v>4.4459593410767049</v>
      </c>
      <c r="F46" s="17">
        <f t="shared" si="8"/>
        <v>0.14858864113598458</v>
      </c>
    </row>
    <row r="47" spans="1:6">
      <c r="A47" s="7">
        <v>45000</v>
      </c>
      <c r="B47" s="8">
        <f t="shared" si="5"/>
        <v>13716</v>
      </c>
      <c r="C47" s="12">
        <f t="shared" si="9"/>
        <v>142.91876229672866</v>
      </c>
      <c r="D47" s="8">
        <f t="shared" si="6"/>
        <v>107.19789095333404</v>
      </c>
      <c r="E47" s="12">
        <f t="shared" si="7"/>
        <v>4.2203894076115764</v>
      </c>
      <c r="F47" s="17">
        <f t="shared" si="8"/>
        <v>0.14104985651754479</v>
      </c>
    </row>
    <row r="48" spans="1:6">
      <c r="A48" s="5">
        <v>46000</v>
      </c>
      <c r="B48" s="6">
        <f t="shared" si="5"/>
        <v>14020.8</v>
      </c>
      <c r="C48" s="11">
        <f t="shared" si="9"/>
        <v>135.59698439924966</v>
      </c>
      <c r="D48" s="6">
        <f t="shared" si="6"/>
        <v>101.70610571796436</v>
      </c>
      <c r="E48" s="11">
        <f t="shared" si="7"/>
        <v>4.004177390471038</v>
      </c>
      <c r="F48" s="19">
        <f t="shared" si="8"/>
        <v>0.13382382331311099</v>
      </c>
    </row>
    <row r="49" spans="1:6">
      <c r="A49" s="5">
        <v>47000</v>
      </c>
      <c r="B49" s="6">
        <f t="shared" si="5"/>
        <v>14325.6</v>
      </c>
      <c r="C49" s="11">
        <f t="shared" si="9"/>
        <v>128.58194462270572</v>
      </c>
      <c r="D49" s="6">
        <f t="shared" si="6"/>
        <v>96.444393001491505</v>
      </c>
      <c r="E49" s="11">
        <f t="shared" si="7"/>
        <v>3.797023346515414</v>
      </c>
      <c r="F49" s="19">
        <f t="shared" si="8"/>
        <v>0.12690051710722566</v>
      </c>
    </row>
    <row r="50" spans="1:6">
      <c r="A50" s="7">
        <v>48000</v>
      </c>
      <c r="B50" s="8">
        <f t="shared" si="5"/>
        <v>14630.4</v>
      </c>
      <c r="C50" s="12">
        <f t="shared" si="9"/>
        <v>121.86371356046621</v>
      </c>
      <c r="D50" s="8">
        <f t="shared" si="6"/>
        <v>91.405305136218701</v>
      </c>
      <c r="E50" s="12">
        <f t="shared" si="7"/>
        <v>3.5986340604810514</v>
      </c>
      <c r="F50" s="17">
        <f t="shared" si="8"/>
        <v>0.12027013833712986</v>
      </c>
    </row>
    <row r="51" spans="1:6">
      <c r="A51" s="7">
        <v>49000</v>
      </c>
      <c r="B51" s="8">
        <f t="shared" si="5"/>
        <v>14935.2</v>
      </c>
      <c r="C51" s="12">
        <f t="shared" si="9"/>
        <v>115.43258676392175</v>
      </c>
      <c r="D51" s="8">
        <f t="shared" si="6"/>
        <v>86.581563186846836</v>
      </c>
      <c r="E51" s="12">
        <f t="shared" si="7"/>
        <v>3.4087229601120805</v>
      </c>
      <c r="F51" s="17">
        <f t="shared" si="8"/>
        <v>0.1139231094563774</v>
      </c>
    </row>
    <row r="52" spans="1:6">
      <c r="A52" s="5">
        <v>50000</v>
      </c>
      <c r="B52" s="6">
        <f t="shared" si="5"/>
        <v>15240</v>
      </c>
      <c r="C52" s="11">
        <f t="shared" si="9"/>
        <v>109.27908187598356</v>
      </c>
      <c r="D52" s="6">
        <f t="shared" si="6"/>
        <v>81.966054800422015</v>
      </c>
      <c r="E52" s="11">
        <f t="shared" si="7"/>
        <v>3.2270100315126777</v>
      </c>
      <c r="F52" s="19">
        <f t="shared" si="8"/>
        <v>0.10785007210581843</v>
      </c>
    </row>
    <row r="53" spans="1:6">
      <c r="A53" s="5">
        <v>51000</v>
      </c>
      <c r="B53" s="6">
        <f t="shared" si="5"/>
        <v>15544.8</v>
      </c>
      <c r="C53" s="11">
        <f t="shared" si="9"/>
        <v>103.39393577210676</v>
      </c>
      <c r="D53" s="6">
        <f t="shared" si="6"/>
        <v>77.551832061926717</v>
      </c>
      <c r="E53" s="11">
        <f t="shared" si="7"/>
        <v>3.0532217347215247</v>
      </c>
      <c r="F53" s="19">
        <f t="shared" si="8"/>
        <v>0.10204188429200883</v>
      </c>
    </row>
    <row r="54" spans="1:6">
      <c r="A54" s="7">
        <v>52000</v>
      </c>
      <c r="B54" s="8">
        <f t="shared" si="5"/>
        <v>15849.6</v>
      </c>
      <c r="C54" s="12">
        <f t="shared" si="9"/>
        <v>97.768101708894946</v>
      </c>
      <c r="D54" s="8">
        <f t="shared" si="6"/>
        <v>73.332109355557208</v>
      </c>
      <c r="E54" s="12">
        <f t="shared" si="7"/>
        <v>2.887090919510126</v>
      </c>
      <c r="F54" s="17">
        <f t="shared" si="8"/>
        <v>9.648961757310158E-2</v>
      </c>
    </row>
    <row r="55" spans="1:6">
      <c r="A55" s="7">
        <v>53000</v>
      </c>
      <c r="B55" s="8">
        <f t="shared" si="5"/>
        <v>16154.4</v>
      </c>
      <c r="C55" s="12">
        <f t="shared" si="9"/>
        <v>92.392746480345821</v>
      </c>
      <c r="D55" s="8">
        <f t="shared" si="6"/>
        <v>69.300261231732293</v>
      </c>
      <c r="E55" s="12">
        <f t="shared" si="7"/>
        <v>2.7283567414067833</v>
      </c>
      <c r="F55" s="17">
        <f t="shared" si="8"/>
        <v>9.1184554252279337E-2</v>
      </c>
    </row>
    <row r="56" spans="1:6">
      <c r="A56" s="5">
        <v>54000</v>
      </c>
      <c r="B56" s="6">
        <f t="shared" si="5"/>
        <v>16459.2</v>
      </c>
      <c r="C56" s="11">
        <f t="shared" si="9"/>
        <v>87.259247581797879</v>
      </c>
      <c r="D56" s="6">
        <f t="shared" si="6"/>
        <v>65.449820279878367</v>
      </c>
      <c r="E56" s="11">
        <f t="shared" si="7"/>
        <v>2.5767645779479671</v>
      </c>
      <c r="F56" s="19">
        <f t="shared" si="8"/>
        <v>8.611818457878731E-2</v>
      </c>
    </row>
    <row r="57" spans="1:6">
      <c r="A57" s="5">
        <v>55000</v>
      </c>
      <c r="B57" s="6">
        <f t="shared" si="5"/>
        <v>16764</v>
      </c>
      <c r="C57" s="11">
        <f t="shared" si="9"/>
        <v>82.359190381639436</v>
      </c>
      <c r="D57" s="6">
        <f t="shared" si="6"/>
        <v>61.77447500703655</v>
      </c>
      <c r="E57" s="11">
        <f t="shared" si="7"/>
        <v>2.4320659451589193</v>
      </c>
      <c r="F57" s="19">
        <f t="shared" si="8"/>
        <v>8.1282203956627039E-2</v>
      </c>
    </row>
    <row r="58" spans="1:6">
      <c r="A58" s="7">
        <v>56000</v>
      </c>
      <c r="B58" s="8">
        <f t="shared" si="5"/>
        <v>17068.8</v>
      </c>
      <c r="C58" s="12">
        <f t="shared" si="9"/>
        <v>77.68436530084162</v>
      </c>
      <c r="D58" s="8">
        <f t="shared" si="6"/>
        <v>58.268067722338522</v>
      </c>
      <c r="E58" s="12">
        <f t="shared" si="7"/>
        <v>2.2940184142652962</v>
      </c>
      <c r="F58" s="17">
        <f t="shared" si="8"/>
        <v>7.6668510160971731E-2</v>
      </c>
    </row>
    <row r="59" spans="1:6">
      <c r="A59" s="7">
        <v>57000</v>
      </c>
      <c r="B59" s="8">
        <f t="shared" si="5"/>
        <v>17373.599999999999</v>
      </c>
      <c r="C59" s="12">
        <f t="shared" si="9"/>
        <v>73.226765000379814</v>
      </c>
      <c r="D59" s="8">
        <f t="shared" si="6"/>
        <v>54.924592427398949</v>
      </c>
      <c r="E59" s="12">
        <f t="shared" si="7"/>
        <v>2.1623855286377536</v>
      </c>
      <c r="F59" s="17">
        <f t="shared" si="8"/>
        <v>7.2269200562367034E-2</v>
      </c>
    </row>
    <row r="60" spans="1:6">
      <c r="A60" s="5">
        <v>58000</v>
      </c>
      <c r="B60" s="6">
        <f t="shared" si="5"/>
        <v>17678.400000000001</v>
      </c>
      <c r="C60" s="11">
        <f t="shared" si="9"/>
        <v>68.978581576608079</v>
      </c>
      <c r="D60" s="6">
        <f t="shared" si="6"/>
        <v>51.738192712673268</v>
      </c>
      <c r="E60" s="11">
        <f t="shared" si="7"/>
        <v>2.0369367209713882</v>
      </c>
      <c r="F60" s="19">
        <f t="shared" si="8"/>
        <v>6.8076569358780606E-2</v>
      </c>
    </row>
    <row r="61" spans="1:6">
      <c r="A61" s="5">
        <v>59000</v>
      </c>
      <c r="B61" s="6">
        <f t="shared" si="5"/>
        <v>17983.2</v>
      </c>
      <c r="C61" s="11">
        <f t="shared" si="9"/>
        <v>64.932203764652556</v>
      </c>
      <c r="D61" s="6">
        <f t="shared" si="6"/>
        <v>48.703159659830163</v>
      </c>
      <c r="E61" s="11">
        <f t="shared" si="7"/>
        <v>1.917447230701975</v>
      </c>
      <c r="F61" s="19">
        <f t="shared" si="8"/>
        <v>6.4083104815566005E-2</v>
      </c>
    </row>
    <row r="62" spans="1:6">
      <c r="A62" s="7">
        <v>60000</v>
      </c>
      <c r="B62" s="8">
        <f t="shared" si="5"/>
        <v>18288</v>
      </c>
      <c r="C62" s="12">
        <f t="shared" si="9"/>
        <v>61.080214149890828</v>
      </c>
      <c r="D62" s="8">
        <f t="shared" si="6"/>
        <v>45.813929750189004</v>
      </c>
      <c r="E62" s="12">
        <f t="shared" si="7"/>
        <v>1.8036980216609846</v>
      </c>
      <c r="F62" s="17">
        <f t="shared" si="8"/>
        <v>6.0281486513406583E-2</v>
      </c>
    </row>
    <row r="63" spans="1:6">
      <c r="A63" s="7">
        <v>61000</v>
      </c>
      <c r="B63" s="8">
        <f t="shared" si="5"/>
        <v>18592.8</v>
      </c>
      <c r="C63" s="12">
        <f t="shared" si="9"/>
        <v>57.415386387586551</v>
      </c>
      <c r="D63" s="8">
        <f t="shared" si="6"/>
        <v>43.065082779274277</v>
      </c>
      <c r="E63" s="12">
        <f t="shared" si="7"/>
        <v>1.6954756999714282</v>
      </c>
      <c r="F63" s="17">
        <f t="shared" si="8"/>
        <v>5.6664582604308254E-2</v>
      </c>
    </row>
    <row r="64" spans="1:6">
      <c r="A64" s="5">
        <v>62000</v>
      </c>
      <c r="B64" s="6">
        <f t="shared" si="5"/>
        <v>18897.599999999999</v>
      </c>
      <c r="C64" s="11">
        <f t="shared" si="9"/>
        <v>53.930682430749187</v>
      </c>
      <c r="D64" s="6">
        <f t="shared" si="6"/>
        <v>40.451339777539268</v>
      </c>
      <c r="E64" s="11">
        <f t="shared" si="7"/>
        <v>1.5925724321865853</v>
      </c>
      <c r="F64" s="19">
        <f t="shared" si="8"/>
        <v>5.3225447075709559E-2</v>
      </c>
    </row>
    <row r="65" spans="1:6">
      <c r="A65" s="5">
        <v>63000</v>
      </c>
      <c r="B65" s="6">
        <f t="shared" si="5"/>
        <v>19202.400000000001</v>
      </c>
      <c r="C65" s="11">
        <f t="shared" si="9"/>
        <v>50.619249766290274</v>
      </c>
      <c r="D65" s="6">
        <f t="shared" si="6"/>
        <v>37.967560937312776</v>
      </c>
      <c r="E65" s="11">
        <f t="shared" si="7"/>
        <v>1.4947858636737312</v>
      </c>
      <c r="F65" s="19">
        <f t="shared" si="8"/>
        <v>4.9957317022779966E-2</v>
      </c>
    </row>
    <row r="66" spans="1:6">
      <c r="A66" s="7">
        <v>64000</v>
      </c>
      <c r="B66" s="8">
        <f t="shared" ref="B66:B97" si="10">CONVERT(A66,"ft","m")</f>
        <v>19507.2</v>
      </c>
      <c r="C66" s="12">
        <f t="shared" si="9"/>
        <v>47.474418659549379</v>
      </c>
      <c r="D66" s="8">
        <f t="shared" ref="D66:D97" si="11">CONVERT(C66,"hPa","mmHg")</f>
        <v>35.60874354602349</v>
      </c>
      <c r="E66" s="12">
        <f t="shared" ref="E66:E97" si="12">CONVERT(D66,"mm","in")</f>
        <v>1.4019190372450192</v>
      </c>
      <c r="F66" s="17">
        <f t="shared" ref="F66:F72" si="13">CONVERT(C66,"hPa","atm")</f>
        <v>4.6853609928978274E-2</v>
      </c>
    </row>
    <row r="67" spans="1:6">
      <c r="A67" s="7">
        <v>65000</v>
      </c>
      <c r="B67" s="8">
        <f t="shared" si="10"/>
        <v>19812</v>
      </c>
      <c r="C67" s="12">
        <f t="shared" si="9"/>
        <v>44.489699407263792</v>
      </c>
      <c r="D67" s="8">
        <f t="shared" si="11"/>
        <v>33.370019925757774</v>
      </c>
      <c r="E67" s="12">
        <f t="shared" si="12"/>
        <v>1.3137803120377076</v>
      </c>
      <c r="F67" s="17">
        <f t="shared" si="13"/>
        <v>4.3907920954944432E-2</v>
      </c>
    </row>
    <row r="68" spans="1:6">
      <c r="A68" s="5">
        <v>66000</v>
      </c>
      <c r="B68" s="6">
        <f t="shared" si="10"/>
        <v>20116.8</v>
      </c>
      <c r="C68" s="11">
        <f t="shared" si="9"/>
        <v>41.658779599058825</v>
      </c>
      <c r="D68" s="6">
        <f t="shared" si="11"/>
        <v>31.246655379208413</v>
      </c>
      <c r="E68" s="11">
        <f t="shared" si="12"/>
        <v>1.2301832826460004</v>
      </c>
      <c r="F68" s="19">
        <f t="shared" si="13"/>
        <v>4.111402023580054E-2</v>
      </c>
    </row>
    <row r="69" spans="1:6">
      <c r="A69" s="5">
        <v>67000</v>
      </c>
      <c r="B69" s="6">
        <f t="shared" si="10"/>
        <v>20421.599999999999</v>
      </c>
      <c r="C69" s="11">
        <f>$L$1*(1-6.87535*10^(-6)*A69)^5.2561</f>
        <v>38.975521387535821</v>
      </c>
      <c r="D69" s="6">
        <f t="shared" si="11"/>
        <v>29.234046142072124</v>
      </c>
      <c r="E69" s="11">
        <f t="shared" si="12"/>
        <v>1.1509466985067764</v>
      </c>
      <c r="F69" s="19">
        <f t="shared" si="13"/>
        <v>3.8465850186937003E-2</v>
      </c>
    </row>
    <row r="70" spans="1:6">
      <c r="A70" s="7">
        <v>68000</v>
      </c>
      <c r="B70" s="8">
        <f t="shared" si="10"/>
        <v>20726.400000000001</v>
      </c>
      <c r="C70" s="12">
        <f>$L$1*(1-6.87535*10^(-6)*A70)^5.2561</f>
        <v>36.433958767037247</v>
      </c>
      <c r="D70" s="8">
        <f t="shared" si="11"/>
        <v>27.327717341955502</v>
      </c>
      <c r="E70" s="12">
        <f t="shared" si="12"/>
        <v>1.0758943835415551</v>
      </c>
      <c r="F70" s="17">
        <f t="shared" si="13"/>
        <v>3.5957522818362501E-2</v>
      </c>
    </row>
    <row r="71" spans="1:6">
      <c r="A71" s="7">
        <v>69000</v>
      </c>
      <c r="B71" s="8">
        <f t="shared" si="10"/>
        <v>21031.200000000001</v>
      </c>
      <c r="C71" s="12">
        <f>$L$1*(1-6.87535*10^(-6)*A71)^5.2561</f>
        <v>34.028294861170451</v>
      </c>
      <c r="D71" s="8">
        <f t="shared" si="11"/>
        <v>25.523320963850406</v>
      </c>
      <c r="E71" s="12">
        <f t="shared" si="12"/>
        <v>1.0048551560571026</v>
      </c>
      <c r="F71" s="17">
        <f t="shared" si="13"/>
        <v>3.3583317057697896E-2</v>
      </c>
    </row>
    <row r="72" spans="1:6">
      <c r="A72" s="35">
        <v>70000</v>
      </c>
      <c r="B72" s="36">
        <f t="shared" si="10"/>
        <v>21336</v>
      </c>
      <c r="C72" s="37">
        <f>$L$1*(1-6.87535*10^(-6)*A72)^5.2561</f>
        <v>31.752899219172676</v>
      </c>
      <c r="D72" s="36">
        <f t="shared" si="11"/>
        <v>23.816633822240924</v>
      </c>
      <c r="E72" s="37">
        <f t="shared" si="12"/>
        <v>0.93766274890712298</v>
      </c>
      <c r="F72" s="38">
        <f t="shared" si="13"/>
        <v>3.133767608189595E-2</v>
      </c>
    </row>
    <row r="73" spans="1:6">
      <c r="A73" s="5"/>
      <c r="B73" s="6"/>
      <c r="C73" s="11"/>
      <c r="D73" s="6"/>
      <c r="E73" s="11"/>
      <c r="F73" s="19"/>
    </row>
  </sheetData>
  <mergeCells count="1">
    <mergeCell ref="J18:N18"/>
  </mergeCells>
  <phoneticPr fontId="0" type="noConversion"/>
  <pageMargins left="0.75" right="0.75" top="1" bottom="1" header="0.5" footer="0.5"/>
  <pageSetup paperSize="9" orientation="portrait" verticalDpi="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"/>
  <sheetViews>
    <sheetView topLeftCell="A4" workbookViewId="0">
      <selection activeCell="C6" sqref="C6"/>
    </sheetView>
  </sheetViews>
  <sheetFormatPr defaultRowHeight="13.2"/>
  <cols>
    <col min="1" max="1" width="14.109375" customWidth="1"/>
    <col min="2" max="2" width="20" customWidth="1"/>
    <col min="3" max="4" width="15.44140625" bestFit="1" customWidth="1"/>
    <col min="5" max="5" width="12.44140625" customWidth="1"/>
    <col min="6" max="6" width="11.33203125" customWidth="1"/>
    <col min="7" max="7" width="11.109375" customWidth="1"/>
  </cols>
  <sheetData>
    <row r="1" spans="1:10" ht="13.8" thickBot="1"/>
    <row r="2" spans="1:10" ht="26.25" customHeight="1">
      <c r="A2" s="41" t="s">
        <v>13</v>
      </c>
      <c r="B2" s="42"/>
      <c r="C2" s="43"/>
      <c r="E2" s="22" t="s">
        <v>16</v>
      </c>
      <c r="F2" s="22" t="s">
        <v>12</v>
      </c>
      <c r="G2" s="22" t="s">
        <v>11</v>
      </c>
      <c r="H2" s="22" t="s">
        <v>22</v>
      </c>
      <c r="I2" s="22" t="s">
        <v>9</v>
      </c>
      <c r="J2" s="22" t="s">
        <v>10</v>
      </c>
    </row>
    <row r="3" spans="1:10">
      <c r="A3" s="24"/>
      <c r="B3" s="23" t="s">
        <v>8</v>
      </c>
      <c r="C3" s="33">
        <v>1013.25</v>
      </c>
      <c r="E3" s="7">
        <v>0</v>
      </c>
      <c r="F3" s="8">
        <f t="shared" ref="F3:F13" si="0">$C$3*(1-6.87535*10^(-6)*E3)^5.2561</f>
        <v>1013.25</v>
      </c>
      <c r="G3" s="8">
        <f t="shared" ref="G3:G13" si="1">15-2*E3/1000+273.16+$C$6</f>
        <v>266.16000000000003</v>
      </c>
      <c r="H3" s="7">
        <f>G3-273.16</f>
        <v>-7</v>
      </c>
      <c r="I3" s="8">
        <f t="shared" ref="I3:I13" si="2">SUM($C$4*(F3/2.87)*((1/G3)-(1/(273.16+$C$5))))</f>
        <v>1082.7037789391991</v>
      </c>
      <c r="J3" s="8">
        <f t="shared" ref="J3:J27" si="3">CONVERT(I3,"kg","lbm")</f>
        <v>2386.9535608722608</v>
      </c>
    </row>
    <row r="4" spans="1:10" ht="15.6">
      <c r="A4" s="44" t="s">
        <v>17</v>
      </c>
      <c r="B4" s="45"/>
      <c r="C4" s="33">
        <v>2200</v>
      </c>
      <c r="E4" s="7">
        <v>1000</v>
      </c>
      <c r="F4" s="8">
        <f t="shared" si="0"/>
        <v>977.16540533976956</v>
      </c>
      <c r="G4" s="8">
        <f t="shared" si="1"/>
        <v>264.16000000000003</v>
      </c>
      <c r="H4" s="7">
        <f t="shared" ref="H4:H13" si="4">G4-273.16</f>
        <v>-9</v>
      </c>
      <c r="I4" s="8">
        <f t="shared" si="2"/>
        <v>1065.4530752425503</v>
      </c>
      <c r="J4" s="8">
        <f t="shared" si="3"/>
        <v>2348.9222642080786</v>
      </c>
    </row>
    <row r="5" spans="1:10" ht="15.6">
      <c r="A5" s="24"/>
      <c r="B5" s="23" t="s">
        <v>14</v>
      </c>
      <c r="C5" s="33">
        <v>150</v>
      </c>
      <c r="E5" s="5">
        <v>2000</v>
      </c>
      <c r="F5" s="6">
        <f t="shared" si="0"/>
        <v>942.12851411470979</v>
      </c>
      <c r="G5" s="6">
        <f t="shared" si="1"/>
        <v>262.16000000000003</v>
      </c>
      <c r="H5" s="5">
        <f t="shared" si="4"/>
        <v>-11</v>
      </c>
      <c r="I5" s="6">
        <f t="shared" si="2"/>
        <v>1048.107361899649</v>
      </c>
      <c r="J5" s="6">
        <f t="shared" si="3"/>
        <v>2310.6815071006508</v>
      </c>
    </row>
    <row r="6" spans="1:10" ht="16.2" thickBot="1">
      <c r="A6" s="46" t="s">
        <v>15</v>
      </c>
      <c r="B6" s="47"/>
      <c r="C6" s="34">
        <v>-22</v>
      </c>
      <c r="E6" s="5">
        <v>3000</v>
      </c>
      <c r="F6" s="6">
        <f t="shared" si="0"/>
        <v>908.11589351551436</v>
      </c>
      <c r="G6" s="6">
        <f t="shared" si="1"/>
        <v>260.16000000000003</v>
      </c>
      <c r="H6" s="5">
        <f t="shared" si="4"/>
        <v>-13</v>
      </c>
      <c r="I6" s="6">
        <f t="shared" si="2"/>
        <v>1030.6816231411842</v>
      </c>
      <c r="J6" s="6">
        <f t="shared" si="3"/>
        <v>2272.2643241283145</v>
      </c>
    </row>
    <row r="7" spans="1:10">
      <c r="E7" s="7">
        <v>5000</v>
      </c>
      <c r="F7" s="8">
        <f t="shared" si="0"/>
        <v>843.07155804903903</v>
      </c>
      <c r="G7" s="8">
        <f t="shared" si="1"/>
        <v>256.16000000000003</v>
      </c>
      <c r="H7" s="7">
        <f t="shared" si="4"/>
        <v>-17</v>
      </c>
      <c r="I7" s="8">
        <f t="shared" si="2"/>
        <v>995.64787310691543</v>
      </c>
      <c r="J7" s="8">
        <f t="shared" si="3"/>
        <v>2195.0281160151972</v>
      </c>
    </row>
    <row r="8" spans="1:10">
      <c r="E8" s="7">
        <v>7000</v>
      </c>
      <c r="F8" s="8">
        <f t="shared" si="0"/>
        <v>781.85219208605031</v>
      </c>
      <c r="G8" s="8">
        <f t="shared" si="1"/>
        <v>252.16000000000003</v>
      </c>
      <c r="H8" s="7">
        <f t="shared" si="4"/>
        <v>-21</v>
      </c>
      <c r="I8" s="8">
        <f t="shared" si="2"/>
        <v>960.46324148792087</v>
      </c>
      <c r="J8" s="8">
        <f t="shared" si="3"/>
        <v>2117.4592709029885</v>
      </c>
    </row>
    <row r="9" spans="1:10">
      <c r="E9" s="5">
        <v>10000</v>
      </c>
      <c r="F9" s="6">
        <f t="shared" si="0"/>
        <v>696.81475412457371</v>
      </c>
      <c r="G9" s="6">
        <f t="shared" si="1"/>
        <v>246.16000000000003</v>
      </c>
      <c r="H9" s="5">
        <f t="shared" si="4"/>
        <v>-27</v>
      </c>
      <c r="I9" s="6">
        <f t="shared" si="2"/>
        <v>907.63094927160012</v>
      </c>
      <c r="J9" s="6">
        <f t="shared" si="3"/>
        <v>2000.9839888472191</v>
      </c>
    </row>
    <row r="10" spans="1:10">
      <c r="E10" s="5">
        <v>12000</v>
      </c>
      <c r="F10" s="6">
        <f t="shared" si="0"/>
        <v>644.40654522636009</v>
      </c>
      <c r="G10" s="6">
        <f t="shared" si="1"/>
        <v>242.16000000000003</v>
      </c>
      <c r="H10" s="5">
        <f t="shared" si="4"/>
        <v>-31</v>
      </c>
      <c r="I10" s="6">
        <f t="shared" si="2"/>
        <v>872.51376141369769</v>
      </c>
      <c r="J10" s="6">
        <f t="shared" si="3"/>
        <v>1923.5638317961671</v>
      </c>
    </row>
    <row r="11" spans="1:10" ht="13.8" thickBot="1">
      <c r="E11" s="7">
        <v>15000</v>
      </c>
      <c r="F11" s="8">
        <f t="shared" si="0"/>
        <v>571.81755817652413</v>
      </c>
      <c r="G11" s="8">
        <f t="shared" si="1"/>
        <v>236.16000000000003</v>
      </c>
      <c r="H11" s="7">
        <f t="shared" si="4"/>
        <v>-37</v>
      </c>
      <c r="I11" s="8">
        <f t="shared" si="2"/>
        <v>820.21730657241153</v>
      </c>
      <c r="J11" s="8">
        <f t="shared" si="3"/>
        <v>1808.2698690959469</v>
      </c>
    </row>
    <row r="12" spans="1:10">
      <c r="A12" s="41" t="s">
        <v>18</v>
      </c>
      <c r="B12" s="42" t="s">
        <v>18</v>
      </c>
      <c r="C12" s="43"/>
      <c r="E12" s="7">
        <v>18000</v>
      </c>
      <c r="F12" s="8">
        <f t="shared" si="0"/>
        <v>505.99636156838761</v>
      </c>
      <c r="G12" s="8">
        <f t="shared" si="1"/>
        <v>230.16000000000003</v>
      </c>
      <c r="H12" s="7">
        <f t="shared" si="4"/>
        <v>-43</v>
      </c>
      <c r="I12" s="8">
        <f t="shared" si="2"/>
        <v>768.61884758853694</v>
      </c>
      <c r="J12" s="8">
        <f t="shared" si="3"/>
        <v>1694.5147240573358</v>
      </c>
    </row>
    <row r="13" spans="1:10" ht="15.6">
      <c r="A13" s="31">
        <v>77000</v>
      </c>
      <c r="B13" s="25" t="s">
        <v>20</v>
      </c>
      <c r="C13" s="26">
        <f>A13/35.3146</f>
        <v>2180.4013071081085</v>
      </c>
      <c r="E13" s="5">
        <v>20000</v>
      </c>
      <c r="F13" s="6">
        <f t="shared" si="0"/>
        <v>465.63059791841647</v>
      </c>
      <c r="G13" s="6">
        <f t="shared" si="1"/>
        <v>226.16000000000003</v>
      </c>
      <c r="H13" s="5">
        <f t="shared" si="4"/>
        <v>-47</v>
      </c>
      <c r="I13" s="6">
        <f t="shared" si="2"/>
        <v>734.73058297908926</v>
      </c>
      <c r="J13" s="6">
        <f t="shared" si="3"/>
        <v>1619.8038793602243</v>
      </c>
    </row>
    <row r="14" spans="1:10">
      <c r="A14" s="31">
        <v>15600</v>
      </c>
      <c r="B14" s="25" t="s">
        <v>23</v>
      </c>
      <c r="C14" s="26">
        <f>CONVERT(A14,"m","ft")</f>
        <v>51181.102362204721</v>
      </c>
      <c r="E14" s="5">
        <v>22000</v>
      </c>
      <c r="F14" s="6">
        <f t="shared" ref="F14:F27" si="5">$C$3*(1-6.87535*10^(-6)*E14)^5.2561</f>
        <v>427.91286476256721</v>
      </c>
      <c r="G14" s="6">
        <f t="shared" ref="G14:G19" si="6">15-2*E14/1000+273.16+$C$6</f>
        <v>222.16000000000003</v>
      </c>
      <c r="H14" s="5">
        <f t="shared" ref="H14:H27" si="7">G14-273.16</f>
        <v>-51</v>
      </c>
      <c r="I14" s="6">
        <f t="shared" ref="I14:I27" si="8">SUM($C$4*(F14/2.87)*((1/G14)-(1/(273.16+$C$5))))</f>
        <v>701.32885826525182</v>
      </c>
      <c r="J14" s="6">
        <f t="shared" si="3"/>
        <v>1546.1656716658861</v>
      </c>
    </row>
    <row r="15" spans="1:10" ht="15.6">
      <c r="A15" s="31">
        <v>250</v>
      </c>
      <c r="B15" s="27" t="s">
        <v>21</v>
      </c>
      <c r="C15" s="28">
        <f>(A15-32)/9*5</f>
        <v>121.11111111111111</v>
      </c>
      <c r="E15" s="7">
        <v>25000</v>
      </c>
      <c r="F15" s="8">
        <f t="shared" si="5"/>
        <v>376.00734637808381</v>
      </c>
      <c r="G15" s="8">
        <f t="shared" si="6"/>
        <v>216.16000000000003</v>
      </c>
      <c r="H15" s="7">
        <f t="shared" si="7"/>
        <v>-57</v>
      </c>
      <c r="I15" s="8">
        <f t="shared" si="8"/>
        <v>652.27017305531137</v>
      </c>
      <c r="J15" s="8">
        <f t="shared" si="3"/>
        <v>1438.0097700874226</v>
      </c>
    </row>
    <row r="16" spans="1:10" ht="13.8" thickBot="1">
      <c r="A16" s="32">
        <v>29.92</v>
      </c>
      <c r="B16" s="29" t="s">
        <v>19</v>
      </c>
      <c r="C16" s="30">
        <f>CONVERT(A16,"mmHg","hPa")*25.4011</f>
        <v>1013.2511817299589</v>
      </c>
      <c r="E16" s="7">
        <v>27000</v>
      </c>
      <c r="F16" s="8">
        <f t="shared" si="5"/>
        <v>344.32965423960746</v>
      </c>
      <c r="G16" s="8">
        <f t="shared" si="6"/>
        <v>212.16000000000003</v>
      </c>
      <c r="H16" s="7">
        <f t="shared" si="7"/>
        <v>-61</v>
      </c>
      <c r="I16" s="8">
        <f t="shared" si="8"/>
        <v>620.33966428209544</v>
      </c>
      <c r="J16" s="8">
        <f t="shared" si="3"/>
        <v>1367.6150387682378</v>
      </c>
    </row>
    <row r="17" spans="5:10">
      <c r="E17" s="5">
        <v>30000</v>
      </c>
      <c r="F17" s="6">
        <f t="shared" si="5"/>
        <v>300.89440535368027</v>
      </c>
      <c r="G17" s="6">
        <f t="shared" si="6"/>
        <v>206.16000000000003</v>
      </c>
      <c r="H17" s="5">
        <f t="shared" si="7"/>
        <v>-67</v>
      </c>
      <c r="I17" s="6">
        <f t="shared" si="8"/>
        <v>573.72743353615999</v>
      </c>
      <c r="J17" s="6">
        <f t="shared" si="3"/>
        <v>1264.8526467608685</v>
      </c>
    </row>
    <row r="18" spans="5:10">
      <c r="E18" s="5">
        <v>33000</v>
      </c>
      <c r="F18" s="6">
        <f t="shared" si="5"/>
        <v>262.00636839000759</v>
      </c>
      <c r="G18" s="6">
        <f t="shared" si="6"/>
        <v>200.16000000000003</v>
      </c>
      <c r="H18" s="5">
        <f t="shared" si="7"/>
        <v>-73</v>
      </c>
      <c r="I18" s="6">
        <f t="shared" si="8"/>
        <v>528.78069807253871</v>
      </c>
      <c r="J18" s="6">
        <f t="shared" si="3"/>
        <v>1165.7620438171996</v>
      </c>
    </row>
    <row r="19" spans="5:10">
      <c r="E19" s="7">
        <v>35000</v>
      </c>
      <c r="F19" s="8">
        <f t="shared" si="5"/>
        <v>238.42188760816379</v>
      </c>
      <c r="G19" s="8">
        <f t="shared" si="6"/>
        <v>196.16000000000003</v>
      </c>
      <c r="H19" s="7">
        <f t="shared" si="7"/>
        <v>-77</v>
      </c>
      <c r="I19" s="8">
        <f t="shared" si="8"/>
        <v>499.80166893635112</v>
      </c>
      <c r="J19" s="8">
        <f t="shared" si="3"/>
        <v>1101.8742121380526</v>
      </c>
    </row>
    <row r="20" spans="5:10">
      <c r="E20" s="7">
        <v>37000</v>
      </c>
      <c r="F20" s="8">
        <f t="shared" si="5"/>
        <v>216.58668859803061</v>
      </c>
      <c r="G20" s="8">
        <f>217.16+$C$6</f>
        <v>195.16</v>
      </c>
      <c r="H20" s="7">
        <f t="shared" si="7"/>
        <v>-78.000000000000028</v>
      </c>
      <c r="I20" s="8">
        <f t="shared" si="8"/>
        <v>458.36555555570493</v>
      </c>
      <c r="J20" s="8">
        <f t="shared" si="3"/>
        <v>1010.5232070833316</v>
      </c>
    </row>
    <row r="21" spans="5:10">
      <c r="E21" s="5">
        <v>40000</v>
      </c>
      <c r="F21" s="6">
        <f t="shared" si="5"/>
        <v>186.89390083989147</v>
      </c>
      <c r="G21" s="6">
        <f>217.16+$C$6</f>
        <v>195.16</v>
      </c>
      <c r="H21" s="5">
        <f t="shared" si="7"/>
        <v>-78.000000000000028</v>
      </c>
      <c r="I21" s="6">
        <f t="shared" si="8"/>
        <v>395.52627745945705</v>
      </c>
      <c r="J21" s="6">
        <f t="shared" si="3"/>
        <v>871.98629464968212</v>
      </c>
    </row>
    <row r="22" spans="5:10">
      <c r="E22" s="5">
        <v>45000</v>
      </c>
      <c r="F22" s="6">
        <f t="shared" si="5"/>
        <v>144.7791366957203</v>
      </c>
      <c r="G22" s="6">
        <f t="shared" ref="G22:G27" si="9">217.16+$C$6</f>
        <v>195.16</v>
      </c>
      <c r="H22" s="5">
        <f t="shared" si="7"/>
        <v>-78.000000000000028</v>
      </c>
      <c r="I22" s="6">
        <f t="shared" si="8"/>
        <v>306.39819027646649</v>
      </c>
      <c r="J22" s="6">
        <f t="shared" si="3"/>
        <v>675.49247130345418</v>
      </c>
    </row>
    <row r="23" spans="5:10">
      <c r="E23" s="7">
        <v>50000</v>
      </c>
      <c r="F23" s="8">
        <f t="shared" si="5"/>
        <v>110.70156835011981</v>
      </c>
      <c r="G23" s="8">
        <f t="shared" si="9"/>
        <v>195.16</v>
      </c>
      <c r="H23" s="7">
        <f t="shared" si="7"/>
        <v>-78.000000000000028</v>
      </c>
      <c r="I23" s="8">
        <f t="shared" si="8"/>
        <v>234.27933732281966</v>
      </c>
      <c r="J23" s="8">
        <f t="shared" si="3"/>
        <v>516.49759550058934</v>
      </c>
    </row>
    <row r="24" spans="5:10">
      <c r="E24" s="7">
        <v>55000</v>
      </c>
      <c r="F24" s="8">
        <f t="shared" si="5"/>
        <v>83.431260464289366</v>
      </c>
      <c r="G24" s="8">
        <f t="shared" si="9"/>
        <v>195.16</v>
      </c>
      <c r="H24" s="7">
        <f t="shared" si="7"/>
        <v>-78.000000000000028</v>
      </c>
      <c r="I24" s="8">
        <f t="shared" si="8"/>
        <v>176.56678857305567</v>
      </c>
      <c r="J24" s="8">
        <f t="shared" si="3"/>
        <v>389.26318806161885</v>
      </c>
    </row>
    <row r="25" spans="5:10">
      <c r="E25" s="5">
        <v>60000</v>
      </c>
      <c r="F25" s="6">
        <f t="shared" si="5"/>
        <v>61.875295669372925</v>
      </c>
      <c r="G25" s="6">
        <f t="shared" si="9"/>
        <v>195.16</v>
      </c>
      <c r="H25" s="5">
        <f t="shared" si="7"/>
        <v>-78.000000000000028</v>
      </c>
      <c r="I25" s="6">
        <f t="shared" si="8"/>
        <v>130.94758712204398</v>
      </c>
      <c r="J25" s="6">
        <f t="shared" si="3"/>
        <v>288.69005119279825</v>
      </c>
    </row>
    <row r="26" spans="5:10">
      <c r="E26" s="5">
        <v>65000</v>
      </c>
      <c r="F26" s="6">
        <f t="shared" si="5"/>
        <v>45.068822095328116</v>
      </c>
      <c r="G26" s="6">
        <f t="shared" si="9"/>
        <v>195.16</v>
      </c>
      <c r="H26" s="5">
        <f t="shared" si="7"/>
        <v>-78.000000000000028</v>
      </c>
      <c r="I26" s="6">
        <f t="shared" si="8"/>
        <v>95.379802940272398</v>
      </c>
      <c r="J26" s="6">
        <f t="shared" si="3"/>
        <v>210.27649916086858</v>
      </c>
    </row>
    <row r="27" spans="5:10" ht="13.8" thickBot="1">
      <c r="E27" s="9">
        <v>70000</v>
      </c>
      <c r="F27" s="10">
        <f t="shared" si="5"/>
        <v>32.166226901639334</v>
      </c>
      <c r="G27" s="10">
        <f t="shared" si="9"/>
        <v>195.16</v>
      </c>
      <c r="H27" s="10">
        <f t="shared" si="7"/>
        <v>-78.000000000000028</v>
      </c>
      <c r="I27" s="10">
        <f t="shared" si="8"/>
        <v>68.073853288668076</v>
      </c>
      <c r="J27" s="10">
        <f t="shared" si="3"/>
        <v>150.07717685153378</v>
      </c>
    </row>
    <row r="28" spans="5:10" ht="13.8" thickTop="1"/>
  </sheetData>
  <mergeCells count="4">
    <mergeCell ref="A2:C2"/>
    <mergeCell ref="A12:C12"/>
    <mergeCell ref="A4:B4"/>
    <mergeCell ref="A6:B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60:K60"/>
  <sheetViews>
    <sheetView topLeftCell="A19" workbookViewId="0">
      <selection activeCell="B60" sqref="B60:K60"/>
    </sheetView>
  </sheetViews>
  <sheetFormatPr defaultRowHeight="13.2"/>
  <sheetData>
    <row r="60" spans="2:11">
      <c r="B60" s="48" t="str">
        <f>CONCATENATE("This graph is for a balloon of ", 'Lift Calculator'!C4, " m3 volume")</f>
        <v>This graph is for a balloon of 2200 m3 volume</v>
      </c>
      <c r="C60" s="49"/>
      <c r="D60" s="49"/>
      <c r="E60" s="49"/>
      <c r="F60" s="49"/>
      <c r="G60" s="49"/>
      <c r="H60" s="49"/>
      <c r="I60" s="49"/>
      <c r="J60" s="49"/>
      <c r="K60" s="50"/>
    </row>
  </sheetData>
  <mergeCells count="1">
    <mergeCell ref="B60:K60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Pressure -&gt; Altitude</vt:lpstr>
      <vt:lpstr>Altitude -&gt;Pressure</vt:lpstr>
      <vt:lpstr>Lift Calculator</vt:lpstr>
      <vt:lpstr>Graphs</vt:lpstr>
    </vt:vector>
  </TitlesOfParts>
  <Company>Fly Me To The Moon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Griffin</dc:creator>
  <cp:lastModifiedBy>Heater, Daniel L. (MSFC-ES52)</cp:lastModifiedBy>
  <cp:lastPrinted>2008-09-20T07:32:57Z</cp:lastPrinted>
  <dcterms:created xsi:type="dcterms:W3CDTF">2003-05-12T21:04:44Z</dcterms:created>
  <dcterms:modified xsi:type="dcterms:W3CDTF">2013-11-17T22:44:15Z</dcterms:modified>
</cp:coreProperties>
</file>