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codeName="{4470D2CD-2249-CD33-4A35-6F278624656F}"/>
  <workbookPr codeName="ThisWorkbook" defaultThemeVersion="124226"/>
  <mc:AlternateContent xmlns:mc="http://schemas.openxmlformats.org/markup-compatibility/2006">
    <mc:Choice Requires="x15">
      <x15ac:absPath xmlns:x15ac="http://schemas.microsoft.com/office/spreadsheetml/2010/11/ac" url="D:\Users\852tsangml\Desktop\SPORE DOC\2A-SMS 15Ju20 - chnaged to TCCS\Done\Word of Vol VIII\Section 4 - Navigation Management\"/>
    </mc:Choice>
  </mc:AlternateContent>
  <xr:revisionPtr revIDLastSave="0" documentId="13_ncr:1_{D54ACA93-6BA2-4F23-B183-9738E044E2CA}" xr6:coauthVersionLast="45" xr6:coauthVersionMax="45" xr10:uidLastSave="{00000000-0000-0000-0000-000000000000}"/>
  <bookViews>
    <workbookView xWindow="-120" yWindow="-120" windowWidth="20730" windowHeight="11160" xr2:uid="{00000000-000D-0000-FFFF-FFFF00000000}"/>
  </bookViews>
  <sheets>
    <sheet name="NM005A" sheetId="1" r:id="rId1"/>
    <sheet name="Data" sheetId="5" state="hidden" r:id="rId2"/>
    <sheet name="Sheet1" sheetId="4" state="hidden" r:id="rId3"/>
  </sheets>
  <definedNames>
    <definedName name="_xlnm._FilterDatabase" localSheetId="0" hidden="1">NM005A!$B$32:$R$43</definedName>
    <definedName name="_xlnm.Print_Area" localSheetId="0">NM005A!$B:$R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8" i="1" l="1"/>
  <c r="G34" i="5" l="1"/>
  <c r="J43" i="5" s="1"/>
  <c r="G49" i="5"/>
  <c r="G48" i="5"/>
  <c r="G47" i="5"/>
  <c r="G46" i="5"/>
  <c r="G45" i="5"/>
  <c r="G44" i="5"/>
  <c r="G43" i="5"/>
  <c r="G42" i="5"/>
  <c r="G41" i="5"/>
  <c r="G40" i="5"/>
  <c r="G39" i="5"/>
  <c r="G38" i="5"/>
  <c r="G37" i="5"/>
  <c r="G36" i="5"/>
  <c r="I36" i="5" l="1"/>
  <c r="I47" i="5" s="1"/>
  <c r="C20" i="5"/>
  <c r="C19" i="5"/>
  <c r="C18" i="5"/>
  <c r="L34" i="1" s="1"/>
  <c r="C17" i="5"/>
  <c r="C16" i="5"/>
  <c r="C15" i="5"/>
  <c r="J46" i="5" l="1" a="1"/>
  <c r="J46" i="5" s="1"/>
  <c r="L46" i="5" l="1"/>
  <c r="J25" i="1" s="1"/>
  <c r="G26" i="5"/>
  <c r="G25" i="5"/>
  <c r="A38" i="5" l="1"/>
  <c r="C32" i="5"/>
  <c r="A40" i="5"/>
  <c r="C26" i="5" s="1"/>
  <c r="D1" i="5"/>
  <c r="H1" i="4" s="1"/>
  <c r="D2" i="5"/>
  <c r="H3" i="4" s="1"/>
  <c r="D3" i="5"/>
  <c r="H10" i="4" s="1"/>
  <c r="A36" i="5"/>
  <c r="H2" i="4"/>
  <c r="B13" i="4"/>
  <c r="J15" i="4"/>
  <c r="J21" i="1"/>
  <c r="H4" i="4" s="1"/>
  <c r="J23" i="1"/>
  <c r="Q24" i="1"/>
  <c r="L32" i="1"/>
  <c r="C27" i="5" l="1"/>
  <c r="B8" i="4"/>
  <c r="D10" i="5" s="1"/>
  <c r="A11" i="5" s="1"/>
  <c r="C28" i="5"/>
  <c r="L35" i="1"/>
  <c r="B17" i="4"/>
  <c r="B21" i="4" s="1"/>
  <c r="B6" i="4"/>
  <c r="D7" i="5" s="1"/>
  <c r="K7" i="5" s="1"/>
  <c r="B15" i="4"/>
  <c r="B19" i="4" s="1"/>
  <c r="K8" i="5" l="1"/>
  <c r="K9" i="5" s="1"/>
  <c r="A8" i="5" s="1"/>
  <c r="D4" i="5" s="1"/>
  <c r="J27" i="1" l="1"/>
  <c r="F46" i="1"/>
  <c r="C31" i="5" l="1"/>
  <c r="C30" i="5"/>
  <c r="J28" i="1"/>
  <c r="L36" i="1" s="1"/>
  <c r="Q58" i="1"/>
  <c r="E53" i="1"/>
  <c r="P57" i="1"/>
  <c r="J53" i="1"/>
  <c r="Q57" i="1"/>
  <c r="N57" i="1"/>
  <c r="M54" i="1"/>
  <c r="J58" i="1"/>
  <c r="G58" i="1"/>
  <c r="J54" i="1"/>
  <c r="N58" i="1"/>
  <c r="L57" i="1"/>
  <c r="D54" i="1"/>
  <c r="P54" i="1"/>
  <c r="K57" i="1"/>
  <c r="P52" i="1"/>
  <c r="M53" i="1"/>
  <c r="F55" i="1"/>
  <c r="M57" i="1"/>
  <c r="L58" i="1"/>
  <c r="F54" i="1"/>
  <c r="H56" i="1"/>
  <c r="M56" i="1"/>
  <c r="G55" i="1"/>
  <c r="K56" i="1"/>
  <c r="K54" i="1"/>
  <c r="H57" i="1"/>
  <c r="P51" i="1"/>
  <c r="I58" i="1"/>
  <c r="D56" i="1"/>
  <c r="K55" i="1"/>
  <c r="M55" i="1"/>
  <c r="E58" i="1"/>
  <c r="J52" i="1"/>
  <c r="R56" i="1"/>
  <c r="E55" i="1"/>
  <c r="L54" i="1"/>
  <c r="L55" i="1"/>
  <c r="H51" i="1"/>
  <c r="P56" i="1"/>
  <c r="D58" i="1"/>
  <c r="F56" i="1"/>
  <c r="G56" i="1"/>
  <c r="D51" i="1"/>
  <c r="R52" i="1"/>
  <c r="K52" i="1"/>
  <c r="R54" i="1"/>
  <c r="H55" i="1"/>
  <c r="F51" i="1"/>
  <c r="M51" i="1"/>
  <c r="L50" i="1"/>
  <c r="F52" i="1"/>
  <c r="Q50" i="1"/>
  <c r="R58" i="1"/>
  <c r="G57" i="1"/>
  <c r="D52" i="1"/>
  <c r="G50" i="1"/>
  <c r="I55" i="1"/>
  <c r="N56" i="1"/>
  <c r="I50" i="1"/>
  <c r="J56" i="1"/>
  <c r="M58" i="1"/>
  <c r="L52" i="1"/>
  <c r="N53" i="1"/>
  <c r="Q52" i="1"/>
  <c r="G52" i="1"/>
  <c r="Q54" i="1"/>
  <c r="L56" i="1"/>
  <c r="I51" i="1"/>
  <c r="O50" i="1"/>
  <c r="O56" i="1"/>
  <c r="I53" i="1"/>
  <c r="P55" i="1"/>
  <c r="R50" i="1"/>
  <c r="H52" i="1"/>
  <c r="D57" i="1"/>
  <c r="I54" i="1"/>
  <c r="P50" i="1"/>
  <c r="E50" i="1"/>
  <c r="Q53" i="1"/>
  <c r="R51" i="1"/>
  <c r="O57" i="1"/>
  <c r="E51" i="1"/>
  <c r="J55" i="1"/>
  <c r="K58" i="1"/>
  <c r="L51" i="1"/>
  <c r="O58" i="1"/>
  <c r="M50" i="1"/>
  <c r="H54" i="1"/>
  <c r="I56" i="1"/>
  <c r="H53" i="1"/>
  <c r="H50" i="1"/>
  <c r="I52" i="1"/>
  <c r="D55" i="1"/>
  <c r="G54" i="1"/>
  <c r="N50" i="1"/>
  <c r="E56" i="1"/>
  <c r="G53" i="1"/>
  <c r="F53" i="1"/>
  <c r="E57" i="1"/>
  <c r="O54" i="1"/>
  <c r="Q51" i="1"/>
  <c r="Q56" i="1"/>
  <c r="E54" i="1"/>
  <c r="K53" i="1"/>
  <c r="P53" i="1"/>
  <c r="F50" i="1"/>
  <c r="G51" i="1"/>
  <c r="O55" i="1"/>
  <c r="J57" i="1"/>
  <c r="H58" i="1"/>
  <c r="Q55" i="1"/>
  <c r="F57" i="1"/>
  <c r="P58" i="1"/>
  <c r="J51" i="1"/>
  <c r="I57" i="1"/>
  <c r="N55" i="1"/>
  <c r="N54" i="1"/>
  <c r="K51" i="1"/>
  <c r="O52" i="1"/>
  <c r="D53" i="1"/>
  <c r="D50" i="1"/>
  <c r="O51" i="1"/>
  <c r="R57" i="1"/>
  <c r="O53" i="1"/>
  <c r="M52" i="1"/>
  <c r="L53" i="1"/>
  <c r="R53" i="1"/>
  <c r="F58" i="1"/>
  <c r="E52" i="1"/>
  <c r="N52" i="1"/>
  <c r="J50" i="1"/>
  <c r="R55" i="1"/>
  <c r="N51" i="1"/>
  <c r="K50" i="1"/>
  <c r="A39" i="5" l="1"/>
  <c r="L38" i="1" s="1"/>
  <c r="L39" i="1" s="1"/>
  <c r="I40" i="1" s="1"/>
  <c r="L41" i="1"/>
  <c r="L43" i="1" s="1"/>
  <c r="C25" i="4" s="1"/>
  <c r="C26" i="4" s="1"/>
  <c r="L42" i="1" l="1"/>
  <c r="B40" i="1"/>
  <c r="F40" i="1"/>
  <c r="B30" i="4"/>
  <c r="B32" i="4"/>
  <c r="G24" i="5"/>
  <c r="G27" i="5" s="1"/>
  <c r="L40" i="1" s="1"/>
  <c r="E1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master</author>
    <author>Yayati Joshi</author>
    <author>Capt. Kedar Joglekar</author>
    <author>tc={67D15419-F410-4A7B-A303-FABDE8680404}</author>
    <author>tc={CD001468-30F6-443E-84E7-E8C37132CF01}</author>
  </authors>
  <commentList>
    <comment ref="O13" authorId="0" shapeId="0" xr:uid="{00000000-0006-0000-0000-000001000000}">
      <text>
        <r>
          <rPr>
            <b/>
            <sz val="9"/>
            <color indexed="81"/>
            <rFont val="Tahoma"/>
            <family val="2"/>
          </rPr>
          <t>Enter moulded breadth of the vessel</t>
        </r>
      </text>
    </comment>
    <comment ref="G14" authorId="1" shapeId="0" xr:uid="{00000000-0006-0000-0000-000002000000}">
      <text>
        <r>
          <rPr>
            <b/>
            <sz val="9"/>
            <color indexed="81"/>
            <rFont val="Tahoma"/>
            <family val="2"/>
          </rPr>
          <t>Enter minimum width of the waterway.</t>
        </r>
      </text>
    </comment>
    <comment ref="O14" authorId="1" shapeId="0" xr:uid="{00000000-0006-0000-0000-000003000000}">
      <text>
        <r>
          <rPr>
            <b/>
            <sz val="9"/>
            <color indexed="81"/>
            <rFont val="Tahoma"/>
            <family val="2"/>
          </rPr>
          <t>Insert maximum expected angle of heel during transit.</t>
        </r>
        <r>
          <rPr>
            <sz val="9"/>
            <color indexed="81"/>
            <rFont val="Tahoma"/>
            <family val="2"/>
          </rPr>
          <t xml:space="preserve">
</t>
        </r>
      </text>
    </comment>
    <comment ref="O15" authorId="2" shapeId="0" xr:uid="{00000000-0006-0000-0000-000004000000}">
      <text>
        <r>
          <rPr>
            <b/>
            <sz val="9"/>
            <color indexed="81"/>
            <rFont val="Tahoma"/>
            <family val="2"/>
          </rPr>
          <t>CATZOC indicated in ECDIS (A1, A2, B, C, D,U as applicable</t>
        </r>
      </text>
    </comment>
    <comment ref="J17" authorId="1" shapeId="0" xr:uid="{00000000-0006-0000-0000-000005000000}">
      <text>
        <r>
          <rPr>
            <b/>
            <sz val="9"/>
            <color indexed="81"/>
            <rFont val="Tahoma"/>
            <family val="2"/>
          </rPr>
          <t>Enter matained depth of the waterway.</t>
        </r>
        <r>
          <rPr>
            <sz val="9"/>
            <color indexed="81"/>
            <rFont val="Tahoma"/>
            <family val="2"/>
          </rPr>
          <t xml:space="preserve">
</t>
        </r>
      </text>
    </comment>
    <comment ref="J18" authorId="1" shapeId="0" xr:uid="{00000000-0006-0000-0000-000006000000}">
      <text>
        <r>
          <rPr>
            <b/>
            <sz val="9"/>
            <color indexed="81"/>
            <rFont val="Tahoma"/>
            <family val="2"/>
          </rPr>
          <t>Enter Height of tide at the time of transit.</t>
        </r>
      </text>
    </comment>
    <comment ref="J19" authorId="1" shapeId="0" xr:uid="{00000000-0006-0000-0000-000007000000}">
      <text>
        <r>
          <rPr>
            <b/>
            <sz val="9"/>
            <color indexed="81"/>
            <rFont val="Tahoma"/>
            <family val="2"/>
          </rPr>
          <t>Insert correction for weather factors such as infra gravity waves, long period of swell &amp; Risagas.</t>
        </r>
      </text>
    </comment>
    <comment ref="J20" authorId="1" shapeId="0" xr:uid="{00000000-0006-0000-0000-000008000000}">
      <text>
        <r>
          <rPr>
            <b/>
            <sz val="9"/>
            <color indexed="81"/>
            <rFont val="Tahoma"/>
            <family val="2"/>
          </rPr>
          <t>Other includes under water obstructions, wrecks, additoinal safety margin for CATZOC D or U as per master's descrition.</t>
        </r>
      </text>
    </comment>
    <comment ref="J24" authorId="0" shapeId="0" xr:uid="{00000000-0006-0000-0000-000009000000}">
      <text>
        <r>
          <rPr>
            <b/>
            <sz val="9"/>
            <color indexed="81"/>
            <rFont val="Tahoma"/>
            <family val="2"/>
          </rPr>
          <t>Enter Static Draft of the vessel</t>
        </r>
        <r>
          <rPr>
            <sz val="9"/>
            <color indexed="81"/>
            <rFont val="Tahoma"/>
            <family val="2"/>
          </rPr>
          <t xml:space="preserve">
</t>
        </r>
      </text>
    </comment>
    <comment ref="Q25" authorId="1" shapeId="0" xr:uid="{00000000-0006-0000-0000-00000A000000}">
      <text>
        <r>
          <rPr>
            <b/>
            <sz val="9"/>
            <color indexed="81"/>
            <rFont val="Tahoma"/>
            <family val="2"/>
          </rPr>
          <t>Insert tidal streams. '+' if favourable &amp; '-' if unfavourable.</t>
        </r>
        <r>
          <rPr>
            <sz val="9"/>
            <color indexed="81"/>
            <rFont val="Tahoma"/>
            <family val="2"/>
          </rPr>
          <t xml:space="preserve">
</t>
        </r>
      </text>
    </comment>
    <comment ref="J26" authorId="1" shapeId="0" xr:uid="{00000000-0006-0000-0000-00000B000000}">
      <text>
        <r>
          <rPr>
            <b/>
            <sz val="9"/>
            <color indexed="81"/>
            <rFont val="Tahoma"/>
            <family val="2"/>
          </rPr>
          <t>Insert Dock/Fresh Water Allowance if applicable.</t>
        </r>
      </text>
    </comment>
    <comment ref="Q26" authorId="1" shapeId="0" xr:uid="{00000000-0006-0000-0000-00000C000000}">
      <text>
        <r>
          <rPr>
            <b/>
            <sz val="9"/>
            <color indexed="81"/>
            <rFont val="Tahoma"/>
            <family val="2"/>
          </rPr>
          <t>Insert current, '+' if favourable &amp; '-' if unfavourable.</t>
        </r>
        <r>
          <rPr>
            <sz val="9"/>
            <color indexed="81"/>
            <rFont val="Tahoma"/>
            <family val="2"/>
          </rPr>
          <t xml:space="preserve">
</t>
        </r>
      </text>
    </comment>
    <comment ref="Q27" authorId="1" shapeId="0" xr:uid="{00000000-0006-0000-0000-00000D000000}">
      <text>
        <r>
          <rPr>
            <b/>
            <sz val="9"/>
            <color indexed="81"/>
            <rFont val="Tahoma"/>
            <family val="2"/>
          </rPr>
          <t>Insert planned water speed for the transit considering UKC requirement in section 4 below.</t>
        </r>
        <r>
          <rPr>
            <sz val="9"/>
            <color indexed="81"/>
            <rFont val="Tahoma"/>
            <family val="2"/>
          </rPr>
          <t xml:space="preserve">
</t>
        </r>
      </text>
    </comment>
    <comment ref="L33" authorId="3" shapeId="0" xr:uid="{0C102A25-4DE2-4DD1-9581-52A0348ED7DB}">
      <text>
        <r>
          <rPr>
            <b/>
            <sz val="9"/>
            <color indexed="81"/>
            <rFont val="Tahoma"/>
            <family val="2"/>
          </rPr>
          <t>Enter from the drop down menu. For Singapore Strait and Eastern banks the static UKC requirement is already taken in to account Allowance Fixed (Tidal + Depth Uncertainties), Please refer to Passage Planning Guide for SOMS (PPG) for more details. As such CATZOC will become "0" when wither of these are selected.</t>
        </r>
      </text>
    </comment>
    <comment ref="L37" authorId="3" shapeId="0" xr:uid="{FF18A006-17F9-4C57-9B63-8909DACB6B98}">
      <text>
        <r>
          <rPr>
            <b/>
            <sz val="9"/>
            <color indexed="81"/>
            <rFont val="Tahoma"/>
            <family val="2"/>
          </rPr>
          <t>Enter minimum Dynamic UKC required by Charterers or Port if more stringent than of owners.</t>
        </r>
      </text>
    </comment>
    <comment ref="O38" authorId="3" shapeId="0" xr:uid="{589E81F6-E615-4AFE-A1C7-D05BCD921BB7}">
      <text>
        <r>
          <rPr>
            <b/>
            <sz val="9"/>
            <color indexed="81"/>
            <rFont val="Tahoma"/>
            <family val="2"/>
          </rPr>
          <t>Select applicable UKC requirement form the drop down menu here. Once Singapore Strait of Eastern Bank is selected Dynamic UKC required for static UKC of 3.5 m for Singapore Strait and 4.0 m for eastern bank will be automatically selected.</t>
        </r>
      </text>
    </comment>
    <comment ref="L39" authorId="3" shapeId="0" xr:uid="{48DBD15A-21C7-41F9-B051-80A11D5CD928}">
      <text>
        <r>
          <rPr>
            <b/>
            <sz val="9"/>
            <color indexed="81"/>
            <rFont val="Tahoma"/>
            <family val="2"/>
          </rPr>
          <t>When UKC Compliance with min DUKC requirement becomes non compliant additional measures as mentioned below will be required.</t>
        </r>
      </text>
    </comment>
    <comment ref="B40" authorId="3" shapeId="0" xr:uid="{EBC7C30C-9BDC-406E-90B2-D065F9E4D49F}">
      <text>
        <r>
          <rPr>
            <b/>
            <sz val="9"/>
            <color indexed="81"/>
            <rFont val="Tahoma"/>
            <family val="2"/>
          </rPr>
          <t>Only when all additional measures are complied with vessel will be allowed to proceed with the transit. Select from the drop down menu for all three conditions.</t>
        </r>
      </text>
    </comment>
    <comment ref="D48" authorId="4" shapeId="0" xr:uid="{67D15419-F410-4A7B-A303-FABDE8680404}">
      <text>
        <t>[Threaded comment]
Your version of Excel allows you to read this threaded comment; however, any edits to it will get removed if the file is opened in a newer version of Excel. Learn more: https://go.microsoft.com/fwlink/?linkid=870924
Comment:
    Add Draft and Cb applicable to your vessel here.</t>
      </text>
    </comment>
    <comment ref="E67" authorId="5" shapeId="0" xr:uid="{CD001468-30F6-443E-84E7-E8C37132CF01}">
      <text>
        <t>[Threaded comment]
Your version of Excel allows you to read this threaded comment; however, any edits to it will get removed if the file is opened in a newer version of Excel. Learn more: https://go.microsoft.com/fwlink/?linkid=870924
Comment:
    Enter Draft Increase for applicable angle of heel here for your vessel.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<sst xmlns="http://schemas.openxmlformats.org/spreadsheetml/2006/main" count="160" uniqueCount="143">
  <si>
    <t>Vessel:</t>
  </si>
  <si>
    <t>Port:</t>
  </si>
  <si>
    <t>Eta Date/Time LT</t>
  </si>
  <si>
    <t>1. Anticipated Controlling / Minimum Depth</t>
  </si>
  <si>
    <t>Depth of channel</t>
  </si>
  <si>
    <t>Location:</t>
  </si>
  <si>
    <t>Correction</t>
  </si>
  <si>
    <t>Tide</t>
  </si>
  <si>
    <t>Weather</t>
  </si>
  <si>
    <t>Remark</t>
  </si>
  <si>
    <t>2. Calculated Maximum Draft</t>
  </si>
  <si>
    <t>Vessel's maximum draft (static)</t>
  </si>
  <si>
    <r>
      <t xml:space="preserve">Calculated Maximum Draft: </t>
    </r>
    <r>
      <rPr>
        <sz val="9"/>
        <rFont val="Verdana"/>
        <family val="2"/>
      </rPr>
      <t>(after corrections)</t>
    </r>
  </si>
  <si>
    <t>3. Transit Speed Calculation</t>
  </si>
  <si>
    <t>Planned Speed over ground</t>
  </si>
  <si>
    <t>Date:</t>
  </si>
  <si>
    <t>Officer:</t>
  </si>
  <si>
    <t>Signature:</t>
  </si>
  <si>
    <t>Master:</t>
  </si>
  <si>
    <t>Kts</t>
  </si>
  <si>
    <t>Draft</t>
  </si>
  <si>
    <r>
      <t xml:space="preserve">Draft in metres </t>
    </r>
    <r>
      <rPr>
        <sz val="10"/>
        <rFont val="Verdana"/>
        <family val="2"/>
      </rPr>
      <t>(Enter range of draft and corresponding Cb suitable to your vessel)</t>
    </r>
  </si>
  <si>
    <t>Cb</t>
  </si>
  <si>
    <t>Vessel’s Speed through water in Knots ( V )</t>
  </si>
  <si>
    <t>V is Speed through the water</t>
  </si>
  <si>
    <t>Cb is vessel’s Block coefficient at draft</t>
  </si>
  <si>
    <r>
      <t xml:space="preserve">Anticipated controlling depth: </t>
    </r>
    <r>
      <rPr>
        <sz val="9"/>
        <rFont val="Verdana"/>
        <family val="2"/>
      </rPr>
      <t>(after corrections)</t>
    </r>
  </si>
  <si>
    <t>example only</t>
  </si>
  <si>
    <t>Metres</t>
  </si>
  <si>
    <t>Remarks</t>
  </si>
  <si>
    <t>Refer to Squat Effect on Draft  for further information.</t>
  </si>
  <si>
    <t>Formula</t>
  </si>
  <si>
    <t>Heeling</t>
  </si>
  <si>
    <t>Listing</t>
  </si>
  <si>
    <t>Draft Increase = Sin Angle of Heel or List X Half Beam (In metres)</t>
  </si>
  <si>
    <t>Other</t>
  </si>
  <si>
    <t>DWA / FWA Density</t>
  </si>
  <si>
    <t>Calculation of Blockage Factor</t>
  </si>
  <si>
    <t>S=</t>
  </si>
  <si>
    <t>b X d / B X H</t>
  </si>
  <si>
    <t>b=</t>
  </si>
  <si>
    <t>Moulded Breadth=</t>
  </si>
  <si>
    <t>d=</t>
  </si>
  <si>
    <t>static draft =</t>
  </si>
  <si>
    <t>B=</t>
  </si>
  <si>
    <t>Breadth of Waterway=</t>
  </si>
  <si>
    <t>H=</t>
  </si>
  <si>
    <t>Depth of Waterway=</t>
  </si>
  <si>
    <t>H/d=</t>
  </si>
  <si>
    <t>If 0.1&lt;S&lt;0.3, vessel is in confined waters</t>
  </si>
  <si>
    <t>If H/d&gt;1.1, vessel is in open waters</t>
  </si>
  <si>
    <t>V=</t>
  </si>
  <si>
    <t>Squat C=</t>
  </si>
  <si>
    <t>Squat O=</t>
  </si>
  <si>
    <t>UKC C=</t>
  </si>
  <si>
    <t>UKC O=</t>
  </si>
  <si>
    <t>Calculation for dynamic UKC;</t>
  </si>
  <si>
    <t>Calculation for planned water speed;</t>
  </si>
  <si>
    <t>Vc=</t>
  </si>
  <si>
    <t>Vo=</t>
  </si>
  <si>
    <t>UKC required=</t>
  </si>
  <si>
    <t>Max Squat Allowed=</t>
  </si>
  <si>
    <t>Moulded Breadth</t>
  </si>
  <si>
    <t>2°</t>
  </si>
  <si>
    <t>1°</t>
  </si>
  <si>
    <t>3°</t>
  </si>
  <si>
    <t>4°</t>
  </si>
  <si>
    <t>5°</t>
  </si>
  <si>
    <t>6°</t>
  </si>
  <si>
    <t>7°</t>
  </si>
  <si>
    <t>8°</t>
  </si>
  <si>
    <t>9°</t>
  </si>
  <si>
    <t>10°</t>
  </si>
  <si>
    <t>11°</t>
  </si>
  <si>
    <t>12°</t>
  </si>
  <si>
    <t>13°</t>
  </si>
  <si>
    <t>14°</t>
  </si>
  <si>
    <t>Confined</t>
  </si>
  <si>
    <t>Open</t>
  </si>
  <si>
    <t>Width of Channel</t>
  </si>
  <si>
    <t>meters</t>
  </si>
  <si>
    <t>Expected angle of heel</t>
  </si>
  <si>
    <t>Calculation made for</t>
  </si>
  <si>
    <t>Waters</t>
  </si>
  <si>
    <t>Block coefficient</t>
  </si>
  <si>
    <t>Blockage Factor S =</t>
  </si>
  <si>
    <t>Criteria 1:</t>
  </si>
  <si>
    <t>Criteria 2:</t>
  </si>
  <si>
    <t>H/d =</t>
  </si>
  <si>
    <t>If 0.1&lt;S&lt;0.3 then vessel is in confined waters</t>
  </si>
  <si>
    <t>If H/d&gt;1.1 then vessel is in open waters</t>
  </si>
  <si>
    <t>Maximum permissible water speed =</t>
  </si>
  <si>
    <t xml:space="preserve">Breadth of Water Way: </t>
  </si>
  <si>
    <t>Meters</t>
  </si>
  <si>
    <t>Expected List/Heel:</t>
  </si>
  <si>
    <t>Waters on Vessel’s Draft (in metres)</t>
  </si>
  <si>
    <t>Planned Speed through water refering to Page 1 of this form.</t>
  </si>
  <si>
    <t>/</t>
  </si>
  <si>
    <t>Calculation of Deepest Draft, Planned Water Speed &amp; Under Keel Clearance</t>
  </si>
  <si>
    <t>* These two factors need only be considered when calculating UKC alongside a berth &amp; to calculate planned ground speed.</t>
  </si>
  <si>
    <t>Moulded Breadth:</t>
  </si>
  <si>
    <t>Refer to Underkeel Clearance (UKC) and Squat Effect on Draft for further information.</t>
  </si>
  <si>
    <t>Planned Speed through water</t>
  </si>
  <si>
    <t>Speed through the water is to be taken into account to derive squat</t>
  </si>
  <si>
    <r>
      <t>Above squat is calculated using the formula: V</t>
    </r>
    <r>
      <rPr>
        <vertAlign val="superscript"/>
        <sz val="12"/>
        <rFont val="Verdana"/>
        <family val="2"/>
      </rPr>
      <t>2</t>
    </r>
    <r>
      <rPr>
        <sz val="9"/>
        <rFont val="Verdana"/>
        <family val="2"/>
      </rPr>
      <t xml:space="preserve"> x Cb / 50 for confined waters &amp; V2 x Cb / 100 for open waters as squat effect is normally considered to be half of that of confined waters.</t>
    </r>
  </si>
  <si>
    <t>* Effect of tide (+/-)</t>
  </si>
  <si>
    <t>* Effect of current (+/-)</t>
  </si>
  <si>
    <t>4. Dynamic UKC with CATZOC Calculation</t>
  </si>
  <si>
    <t>Zone of Confidence (Use from drop down menu)</t>
  </si>
  <si>
    <t>A1</t>
  </si>
  <si>
    <t>B</t>
  </si>
  <si>
    <t>A2</t>
  </si>
  <si>
    <t>C</t>
  </si>
  <si>
    <t>D</t>
  </si>
  <si>
    <t>U</t>
  </si>
  <si>
    <t>Dredged Channel</t>
  </si>
  <si>
    <t>CATZOC Correction</t>
  </si>
  <si>
    <t>Anticipated controlling depth with CATZOC Correction</t>
  </si>
  <si>
    <t>Dynamic UKC with CATZOC</t>
  </si>
  <si>
    <t>UKC Without CATZOC</t>
  </si>
  <si>
    <t>UKC Compliance without CATZOC</t>
  </si>
  <si>
    <t>UKC Compliance as per applicable Dynamic UKC requirement</t>
  </si>
  <si>
    <t>Port Limits</t>
  </si>
  <si>
    <t>Approaches to Port</t>
  </si>
  <si>
    <t>Open Coastal</t>
  </si>
  <si>
    <t>Ocean</t>
  </si>
  <si>
    <t>Singapore Strait</t>
  </si>
  <si>
    <t>Anchorage or SBM or CBM</t>
  </si>
  <si>
    <t xml:space="preserve"> </t>
  </si>
  <si>
    <t>Charterer's or Port requirement (if more stringent than owner's)</t>
  </si>
  <si>
    <t xml:space="preserve">5. Effect Of Squat in </t>
  </si>
  <si>
    <t>6. Calculation for the increase in draft due to Heeling/Listing.</t>
  </si>
  <si>
    <t>Page 2 (Table 5 &amp; 6.) of this form shall be prepared in anticipation of various drafts and speeds and shall be available on the bridge at all times. This need not be re-calculated for every voyage.</t>
  </si>
  <si>
    <r>
      <t>NOTE:</t>
    </r>
    <r>
      <rPr>
        <sz val="9"/>
        <rFont val="Verdana"/>
        <family val="2"/>
      </rPr>
      <t xml:space="preserve"> Page 1 of this form is to be completed when ECDIS is used as primary means of navigation, each time vessel is under pilotage, irrespective of the anticipated UKC, for each section of the passage where the anticipated </t>
    </r>
    <r>
      <rPr>
        <b/>
        <sz val="9"/>
        <rFont val="Verdana"/>
        <family val="2"/>
      </rPr>
      <t>static</t>
    </r>
    <r>
      <rPr>
        <sz val="9"/>
        <rFont val="Verdana"/>
        <family val="2"/>
      </rPr>
      <t xml:space="preserve"> underkeel clearance has been judged to be less than 3.5 metres. It should also be completed if deemed necessary by the master.</t>
    </r>
  </si>
  <si>
    <t>UKC requirement of charterers or port (only if more stringent)</t>
  </si>
  <si>
    <t>List / Roll /Swell (See Table 6)</t>
  </si>
  <si>
    <t>Estimated Squat effect (Table 5)</t>
  </si>
  <si>
    <t>UKC Complaince (without CATZOC) with Charterers requirement</t>
  </si>
  <si>
    <t>Yes</t>
  </si>
  <si>
    <t>No</t>
  </si>
  <si>
    <t>°</t>
  </si>
  <si>
    <t>Eastern Banks</t>
  </si>
  <si>
    <t>Underkeel Clearance Calculation Form for ECDIS as 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</si>
</sst>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
    <numFmt numFmtId="167" formatCode="[$-409]d\-mmm\-yy;@"/>
    <numFmt numFmtId="168" formatCode="h:mm;@"/>
  </numFmts>
  <fonts count="23" x14ac:knownFonts="1">
    <font>
      <sz val="10"/>
      <name val="Arial"/>
    </font>
    <font>
      <sz val="9"/>
      <name val="Verdana"/>
      <family val="2"/>
    </font>
    <font>
      <b/>
      <sz val="9"/>
      <name val="Verdana"/>
      <family val="2"/>
    </font>
    <font>
      <b/>
      <sz val="10"/>
      <name val="Verdana"/>
      <family val="2"/>
    </font>
    <font>
      <sz val="10"/>
      <name val="Verdana"/>
      <family val="2"/>
    </font>
    <font>
      <u/>
      <sz val="10"/>
      <color indexed="12"/>
      <name val="Arial"/>
      <family val="2"/>
    </font>
    <font>
      <sz val="8"/>
      <name val="Verdana"/>
      <family val="2"/>
    </font>
    <font>
      <b/>
      <u/>
      <sz val="14"/>
      <name val="Arial"/>
      <family val="2"/>
    </font>
    <font>
      <sz val="10"/>
      <color indexed="10"/>
      <name val="Arial"/>
      <family val="2"/>
    </font>
    <font>
      <b/>
      <sz val="10"/>
      <name val="Arial"/>
      <family val="2"/>
    </font>
    <font>
      <sz val="8"/>
      <name val="Arial"/>
      <family val="2"/>
    </font>
    <font>
      <b/>
      <sz val="10"/>
      <color indexed="10"/>
      <name val="Arial"/>
      <family val="2"/>
    </font>
    <font>
      <sz val="9"/>
      <color indexed="81"/>
      <name val="Tahoma"/>
      <family val="2"/>
    </font>
    <font>
      <b/>
      <sz val="9"/>
      <color indexed="81"/>
      <name val="Tahoma"/>
      <family val="2"/>
    </font>
    <font>
      <u/>
      <sz val="10"/>
      <name val="Arial"/>
      <family val="2"/>
    </font>
    <font>
      <vertAlign val="superscript"/>
      <sz val="12"/>
      <name val="Verdana"/>
      <family val="2"/>
    </font>
    <font>
      <sz val="12"/>
      <name val="Verdana"/>
      <family val="2"/>
    </font>
    <font>
      <b/>
      <sz val="8"/>
      <name val="Verdana"/>
      <family val="2"/>
    </font>
    <font>
      <sz val="10"/>
      <name val="Arial"/>
      <family val="2"/>
    </font>
    <font>
      <b/>
      <sz val="9"/>
      <color rgb="FFFF0000"/>
      <name val="Verdana"/>
      <family val="2"/>
    </font>
    <font>
      <b/>
      <sz val="8.5"/>
      <color rgb="FFFF0000"/>
      <name val="Verdana"/>
      <family val="2"/>
    </font>
    <font>
      <b/>
      <strike/>
      <sz val="10"/>
      <color rgb="FFFF0000"/>
      <name val="Verdana"/>
      <family val="2"/>
    </font>
    <font>
      <b/>
      <sz val="10"/>
      <color rgb="FF00B050"/>
      <name val="Verdana"/>
      <family val="2"/>
    </font>
  </fonts>
  <fills count="9">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42"/>
        <bgColor indexed="64"/>
      </patternFill>
    </fill>
    <fill>
      <patternFill patternType="solid">
        <fgColor rgb="FFFFFFCC"/>
        <bgColor indexed="64"/>
      </patternFill>
    </fill>
    <fill>
      <patternFill patternType="solid">
        <fgColor theme="0"/>
        <bgColor indexed="64"/>
      </patternFill>
    </fill>
    <fill>
      <patternFill patternType="solid">
        <fgColor rgb="FFA1D1B4"/>
        <bgColor indexed="64"/>
      </patternFill>
    </fill>
    <fill>
      <gradientFill>
        <stop position="0">
          <color theme="0"/>
        </stop>
        <stop position="1">
          <color theme="0" tint="-0.25098422193060094"/>
        </stop>
      </gradientFill>
    </fill>
  </fills>
  <borders count="4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style="thin">
        <color indexed="64"/>
      </left>
      <right/>
      <top/>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73">
    <xf numFmtId="0" fontId="0" fillId="0" borderId="0" xfId="0"/>
    <xf numFmtId="0" fontId="0" fillId="0" borderId="0" xfId="0" applyFill="1"/>
    <xf numFmtId="0" fontId="8" fillId="0" borderId="0" xfId="0" applyFont="1"/>
    <xf numFmtId="0" fontId="9" fillId="0" borderId="0" xfId="0" applyFont="1"/>
    <xf numFmtId="2" fontId="0" fillId="0" borderId="0" xfId="0" applyNumberFormat="1"/>
    <xf numFmtId="164" fontId="1" fillId="3" borderId="10" xfId="0" applyNumberFormat="1" applyFont="1" applyFill="1" applyBorder="1" applyAlignment="1" applyProtection="1">
      <alignment horizontal="center"/>
      <protection locked="0"/>
    </xf>
    <xf numFmtId="0" fontId="4" fillId="3" borderId="11" xfId="0" applyFont="1" applyFill="1" applyBorder="1" applyAlignment="1" applyProtection="1">
      <alignment horizontal="center"/>
      <protection locked="0"/>
    </xf>
    <xf numFmtId="0" fontId="4" fillId="0" borderId="0" xfId="0" applyFont="1" applyFill="1" applyBorder="1" applyAlignment="1" applyProtection="1">
      <alignment horizontal="left"/>
      <protection locked="0"/>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2" fontId="6" fillId="0" borderId="0" xfId="0" applyNumberFormat="1" applyFont="1" applyFill="1" applyBorder="1" applyAlignment="1" applyProtection="1">
      <alignment horizontal="center" vertical="center"/>
      <protection locked="0"/>
    </xf>
    <xf numFmtId="165" fontId="6" fillId="0" borderId="0" xfId="0" applyNumberFormat="1" applyFont="1" applyFill="1" applyBorder="1" applyAlignment="1" applyProtection="1">
      <alignment horizontal="center" vertical="center"/>
      <protection locked="0"/>
    </xf>
    <xf numFmtId="0" fontId="6" fillId="0" borderId="0" xfId="0" applyFont="1" applyFill="1" applyBorder="1" applyAlignment="1">
      <alignment horizontal="left" vertical="center"/>
    </xf>
    <xf numFmtId="0" fontId="0" fillId="0" borderId="0" xfId="0" applyBorder="1"/>
    <xf numFmtId="0" fontId="14" fillId="0" borderId="0" xfId="1" applyFont="1" applyFill="1" applyAlignment="1" applyProtection="1">
      <alignment horizontal="left" vertical="top"/>
    </xf>
    <xf numFmtId="164" fontId="1" fillId="0" borderId="10" xfId="0" applyNumberFormat="1" applyFont="1" applyFill="1" applyBorder="1" applyAlignment="1" applyProtection="1">
      <alignment horizontal="center"/>
    </xf>
    <xf numFmtId="165" fontId="6" fillId="5" borderId="9" xfId="0" applyNumberFormat="1" applyFont="1" applyFill="1" applyBorder="1" applyAlignment="1" applyProtection="1">
      <alignment horizontal="center" vertical="center"/>
      <protection locked="0"/>
    </xf>
    <xf numFmtId="165" fontId="6" fillId="5" borderId="12" xfId="0" applyNumberFormat="1" applyFont="1" applyFill="1" applyBorder="1" applyAlignment="1" applyProtection="1">
      <alignment horizontal="center" vertical="center"/>
      <protection locked="0"/>
    </xf>
    <xf numFmtId="0" fontId="0" fillId="0" borderId="1" xfId="0" applyBorder="1" applyProtection="1">
      <protection hidden="1"/>
    </xf>
    <xf numFmtId="0" fontId="0" fillId="0" borderId="2" xfId="0" applyBorder="1" applyProtection="1">
      <protection hidden="1"/>
    </xf>
    <xf numFmtId="0" fontId="0" fillId="0" borderId="9" xfId="0" applyBorder="1" applyProtection="1">
      <protection hidden="1"/>
    </xf>
    <xf numFmtId="0" fontId="0" fillId="4" borderId="10" xfId="0" applyFill="1" applyBorder="1" applyProtection="1">
      <protection hidden="1"/>
    </xf>
    <xf numFmtId="0" fontId="0" fillId="0" borderId="0" xfId="0" applyProtection="1">
      <protection hidden="1"/>
    </xf>
    <xf numFmtId="0" fontId="0" fillId="3" borderId="10" xfId="0" applyFill="1" applyBorder="1" applyProtection="1">
      <protection hidden="1"/>
    </xf>
    <xf numFmtId="166" fontId="0" fillId="3" borderId="10" xfId="0" applyNumberFormat="1" applyFill="1" applyBorder="1" applyProtection="1">
      <protection hidden="1"/>
    </xf>
    <xf numFmtId="0" fontId="0" fillId="0" borderId="10" xfId="0" applyFill="1" applyBorder="1" applyAlignment="1" applyProtection="1">
      <alignment horizontal="left"/>
      <protection hidden="1"/>
    </xf>
    <xf numFmtId="0" fontId="11" fillId="0" borderId="0" xfId="0" applyFont="1" applyProtection="1">
      <protection hidden="1"/>
    </xf>
    <xf numFmtId="2" fontId="0" fillId="0" borderId="0" xfId="0" applyNumberFormat="1" applyProtection="1">
      <protection hidden="1"/>
    </xf>
    <xf numFmtId="0" fontId="18" fillId="0" borderId="0" xfId="0" applyFont="1" applyProtection="1">
      <protection hidden="1"/>
    </xf>
    <xf numFmtId="0" fontId="0" fillId="0" borderId="0" xfId="0" applyProtection="1">
      <protection locked="0"/>
    </xf>
    <xf numFmtId="0" fontId="18" fillId="0" borderId="0" xfId="0" applyFont="1" applyProtection="1">
      <protection locked="0"/>
    </xf>
    <xf numFmtId="0" fontId="4" fillId="0" borderId="0" xfId="0" applyFont="1" applyFill="1" applyAlignment="1" applyProtection="1">
      <alignment horizontal="left"/>
    </xf>
    <xf numFmtId="0" fontId="4" fillId="0" borderId="0" xfId="0" applyFont="1" applyAlignment="1" applyProtection="1">
      <alignment horizontal="left"/>
    </xf>
    <xf numFmtId="0" fontId="1" fillId="0" borderId="0" xfId="0" applyFont="1" applyFill="1" applyAlignment="1" applyProtection="1">
      <alignment horizontal="left" vertical="top"/>
    </xf>
    <xf numFmtId="0" fontId="1" fillId="0" borderId="0" xfId="0" applyFont="1" applyFill="1" applyAlignment="1" applyProtection="1">
      <alignment horizontal="left"/>
    </xf>
    <xf numFmtId="0" fontId="4" fillId="2" borderId="0" xfId="0" applyFont="1" applyFill="1" applyAlignment="1" applyProtection="1">
      <alignment horizontal="left"/>
    </xf>
    <xf numFmtId="0" fontId="3" fillId="0" borderId="1" xfId="0" applyFont="1" applyFill="1" applyBorder="1" applyAlignment="1" applyProtection="1">
      <alignment horizontal="left" vertical="top"/>
    </xf>
    <xf numFmtId="0" fontId="4" fillId="0" borderId="2" xfId="0" applyFont="1" applyFill="1" applyBorder="1" applyAlignment="1" applyProtection="1">
      <alignment horizontal="left"/>
    </xf>
    <xf numFmtId="0" fontId="3" fillId="0" borderId="3" xfId="0" applyFont="1" applyFill="1" applyBorder="1" applyAlignment="1" applyProtection="1">
      <alignment horizontal="left"/>
    </xf>
    <xf numFmtId="0" fontId="3" fillId="0" borderId="4" xfId="0" applyFont="1" applyFill="1" applyBorder="1" applyAlignment="1" applyProtection="1">
      <alignment horizontal="left"/>
    </xf>
    <xf numFmtId="0" fontId="4" fillId="0" borderId="4" xfId="0" applyFont="1" applyFill="1" applyBorder="1" applyAlignment="1" applyProtection="1">
      <alignment horizontal="left"/>
    </xf>
    <xf numFmtId="0" fontId="4" fillId="0" borderId="5" xfId="0" applyFont="1" applyFill="1" applyBorder="1" applyAlignment="1" applyProtection="1">
      <alignment horizontal="left"/>
    </xf>
    <xf numFmtId="0" fontId="3" fillId="0" borderId="1" xfId="0" applyFont="1" applyFill="1" applyBorder="1" applyAlignment="1" applyProtection="1">
      <alignment horizontal="left"/>
    </xf>
    <xf numFmtId="0" fontId="3" fillId="0" borderId="0" xfId="0" applyFont="1" applyFill="1" applyBorder="1" applyAlignment="1" applyProtection="1">
      <alignment horizontal="left"/>
    </xf>
    <xf numFmtId="0" fontId="4" fillId="0" borderId="0" xfId="0" applyFont="1" applyFill="1" applyBorder="1" applyAlignment="1" applyProtection="1">
      <alignment horizontal="left"/>
    </xf>
    <xf numFmtId="0" fontId="3" fillId="0" borderId="2" xfId="0" applyFont="1" applyFill="1" applyBorder="1" applyAlignment="1" applyProtection="1">
      <alignment horizontal="left"/>
    </xf>
    <xf numFmtId="0" fontId="4" fillId="0" borderId="9" xfId="0" applyFont="1" applyFill="1" applyBorder="1" applyAlignment="1" applyProtection="1">
      <alignment horizontal="left"/>
    </xf>
    <xf numFmtId="0" fontId="4" fillId="0" borderId="4" xfId="0" applyFont="1" applyFill="1" applyBorder="1" applyAlignment="1" applyProtection="1">
      <alignment horizontal="center"/>
    </xf>
    <xf numFmtId="0" fontId="3" fillId="0" borderId="14" xfId="0" applyFont="1" applyFill="1" applyBorder="1" applyAlignment="1" applyProtection="1">
      <alignment horizontal="left" vertical="center"/>
    </xf>
    <xf numFmtId="0" fontId="3" fillId="0" borderId="15" xfId="0" applyFont="1" applyFill="1" applyBorder="1" applyAlignment="1" applyProtection="1">
      <alignment horizontal="left" vertical="center"/>
    </xf>
    <xf numFmtId="0" fontId="3" fillId="0" borderId="16" xfId="0" applyFont="1" applyFill="1" applyBorder="1" applyAlignment="1" applyProtection="1">
      <alignment horizontal="left" vertical="center"/>
    </xf>
    <xf numFmtId="0" fontId="4" fillId="0" borderId="15" xfId="0" applyFont="1" applyFill="1" applyBorder="1" applyAlignment="1" applyProtection="1">
      <alignment horizontal="left" vertical="center"/>
    </xf>
    <xf numFmtId="0" fontId="4" fillId="0" borderId="16" xfId="0" applyFont="1" applyFill="1" applyBorder="1" applyAlignment="1" applyProtection="1">
      <alignment horizontal="left" vertical="center"/>
    </xf>
    <xf numFmtId="0" fontId="4" fillId="0" borderId="0" xfId="0" applyFont="1" applyFill="1" applyAlignment="1" applyProtection="1">
      <alignment horizontal="left" vertical="center"/>
    </xf>
    <xf numFmtId="0" fontId="4" fillId="2" borderId="0" xfId="0" applyFont="1" applyFill="1" applyAlignment="1" applyProtection="1">
      <alignment horizontal="left" vertical="center"/>
    </xf>
    <xf numFmtId="0" fontId="2" fillId="0" borderId="20" xfId="0" applyFont="1" applyFill="1" applyBorder="1" applyAlignment="1" applyProtection="1">
      <alignment horizontal="left"/>
    </xf>
    <xf numFmtId="0" fontId="4" fillId="0" borderId="21" xfId="0" applyFont="1" applyFill="1" applyBorder="1" applyAlignment="1" applyProtection="1">
      <alignment horizontal="left"/>
    </xf>
    <xf numFmtId="0" fontId="16" fillId="0" borderId="0" xfId="0" applyFont="1" applyFill="1" applyAlignment="1" applyProtection="1">
      <alignment horizontal="left"/>
    </xf>
    <xf numFmtId="0" fontId="2" fillId="0" borderId="17" xfId="0" applyFont="1" applyFill="1" applyBorder="1" applyAlignment="1" applyProtection="1">
      <alignment horizontal="left"/>
    </xf>
    <xf numFmtId="0" fontId="1" fillId="0" borderId="18" xfId="0" applyFont="1" applyFill="1" applyBorder="1" applyAlignment="1" applyProtection="1">
      <alignment horizontal="left"/>
    </xf>
    <xf numFmtId="0" fontId="1" fillId="0" borderId="19" xfId="0" applyFont="1" applyFill="1" applyBorder="1" applyAlignment="1" applyProtection="1">
      <alignment horizontal="left"/>
    </xf>
    <xf numFmtId="0" fontId="4" fillId="0" borderId="6" xfId="0" applyFont="1" applyFill="1" applyBorder="1" applyAlignment="1" applyProtection="1">
      <alignment horizontal="left"/>
    </xf>
    <xf numFmtId="0" fontId="3" fillId="0" borderId="2" xfId="0" applyFont="1" applyFill="1" applyBorder="1" applyAlignment="1" applyProtection="1">
      <alignment horizontal="left" vertical="top"/>
    </xf>
    <xf numFmtId="0" fontId="3" fillId="0" borderId="9" xfId="0" applyFont="1" applyFill="1" applyBorder="1" applyAlignment="1" applyProtection="1">
      <alignment horizontal="left" vertical="top"/>
    </xf>
    <xf numFmtId="0" fontId="4" fillId="0" borderId="7" xfId="0" applyFont="1" applyFill="1" applyBorder="1" applyAlignment="1" applyProtection="1">
      <alignment horizontal="left" vertical="top"/>
    </xf>
    <xf numFmtId="0" fontId="4" fillId="0" borderId="5" xfId="0" applyFont="1" applyFill="1" applyBorder="1" applyAlignment="1" applyProtection="1">
      <alignment horizontal="left" vertical="top"/>
    </xf>
    <xf numFmtId="0" fontId="3" fillId="0" borderId="8" xfId="0" applyFont="1" applyFill="1" applyBorder="1" applyAlignment="1" applyProtection="1">
      <alignment horizontal="left" vertical="top"/>
    </xf>
    <xf numFmtId="165" fontId="6" fillId="0" borderId="12" xfId="0" applyNumberFormat="1" applyFont="1" applyFill="1" applyBorder="1" applyAlignment="1" applyProtection="1">
      <alignment horizontal="left" vertical="center"/>
    </xf>
    <xf numFmtId="0" fontId="1" fillId="0" borderId="4" xfId="0" applyFont="1" applyFill="1" applyBorder="1" applyAlignment="1" applyProtection="1">
      <alignment horizontal="left"/>
    </xf>
    <xf numFmtId="0" fontId="0" fillId="0" borderId="4" xfId="0" applyBorder="1" applyProtection="1"/>
    <xf numFmtId="166" fontId="1" fillId="0" borderId="10" xfId="0" applyNumberFormat="1" applyFont="1" applyFill="1" applyBorder="1" applyAlignment="1" applyProtection="1">
      <alignment horizontal="center" vertical="center" wrapText="1"/>
    </xf>
    <xf numFmtId="0" fontId="1" fillId="0" borderId="10" xfId="0" applyFont="1" applyFill="1" applyBorder="1" applyAlignment="1" applyProtection="1">
      <alignment horizontal="center" vertical="center" wrapText="1"/>
    </xf>
    <xf numFmtId="0" fontId="1" fillId="0" borderId="0" xfId="0" applyFont="1" applyFill="1" applyBorder="1" applyAlignment="1" applyProtection="1">
      <alignment horizontal="left" vertical="center" wrapText="1"/>
    </xf>
    <xf numFmtId="0" fontId="3" fillId="0" borderId="0" xfId="0" applyFont="1" applyFill="1" applyAlignment="1" applyProtection="1">
      <alignment horizontal="left"/>
    </xf>
    <xf numFmtId="2" fontId="1" fillId="5" borderId="3" xfId="0" applyNumberFormat="1" applyFont="1" applyFill="1" applyBorder="1" applyAlignment="1" applyProtection="1">
      <alignment horizontal="center" vertical="center" wrapText="1"/>
      <protection locked="0"/>
    </xf>
    <xf numFmtId="2" fontId="1" fillId="5" borderId="10" xfId="0" applyNumberFormat="1"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xf>
    <xf numFmtId="0" fontId="6" fillId="0" borderId="29" xfId="0" applyFont="1" applyFill="1" applyBorder="1" applyAlignment="1" applyProtection="1">
      <alignment horizontal="center"/>
      <protection locked="0"/>
    </xf>
    <xf numFmtId="0" fontId="6" fillId="0" borderId="30" xfId="0" applyFont="1" applyFill="1" applyBorder="1" applyAlignment="1" applyProtection="1">
      <alignment horizontal="center"/>
      <protection locked="0"/>
    </xf>
    <xf numFmtId="0" fontId="6" fillId="0" borderId="32" xfId="0" applyFont="1" applyFill="1" applyBorder="1" applyAlignment="1" applyProtection="1">
      <alignment horizontal="center"/>
      <protection locked="0"/>
    </xf>
    <xf numFmtId="0" fontId="2" fillId="0" borderId="10" xfId="0" applyFont="1" applyFill="1" applyBorder="1" applyAlignment="1" applyProtection="1">
      <alignment horizontal="center" vertical="center"/>
      <protection locked="0"/>
    </xf>
    <xf numFmtId="0" fontId="7" fillId="0" borderId="0" xfId="0" applyFont="1" applyFill="1" applyAlignment="1" applyProtection="1">
      <alignment horizontal="center" vertical="center"/>
    </xf>
    <xf numFmtId="0" fontId="3" fillId="0" borderId="1" xfId="0" applyFont="1" applyFill="1" applyBorder="1" applyAlignment="1" applyProtection="1">
      <alignment horizontal="center"/>
    </xf>
    <xf numFmtId="0" fontId="3" fillId="0" borderId="2" xfId="0" applyFont="1" applyFill="1" applyBorder="1" applyAlignment="1" applyProtection="1">
      <alignment horizontal="center"/>
    </xf>
    <xf numFmtId="0" fontId="3" fillId="0" borderId="9" xfId="0" applyFont="1" applyFill="1" applyBorder="1" applyAlignment="1" applyProtection="1">
      <alignment horizontal="center"/>
    </xf>
    <xf numFmtId="0" fontId="2" fillId="0" borderId="0" xfId="0" applyFont="1" applyFill="1" applyAlignment="1" applyProtection="1">
      <alignment horizontal="left" vertical="top" wrapText="1"/>
    </xf>
    <xf numFmtId="0" fontId="1" fillId="0" borderId="0" xfId="0" applyFont="1" applyFill="1" applyAlignment="1" applyProtection="1">
      <alignment horizontal="left" vertical="top" wrapText="1"/>
    </xf>
    <xf numFmtId="0" fontId="4" fillId="3" borderId="2" xfId="0" applyFont="1" applyFill="1" applyBorder="1" applyAlignment="1" applyProtection="1">
      <alignment horizontal="left"/>
      <protection locked="0"/>
    </xf>
    <xf numFmtId="0" fontId="4" fillId="3" borderId="9" xfId="0" applyFont="1" applyFill="1" applyBorder="1" applyAlignment="1" applyProtection="1">
      <alignment horizontal="left"/>
      <protection locked="0"/>
    </xf>
    <xf numFmtId="0" fontId="4" fillId="0" borderId="1" xfId="0" applyNumberFormat="1" applyFont="1" applyFill="1" applyBorder="1" applyAlignment="1" applyProtection="1">
      <alignment horizontal="center" vertical="center"/>
      <protection locked="0"/>
    </xf>
    <xf numFmtId="0" fontId="4" fillId="0" borderId="2" xfId="0" applyNumberFormat="1" applyFont="1" applyFill="1" applyBorder="1" applyAlignment="1" applyProtection="1">
      <alignment horizontal="center" vertical="center"/>
      <protection locked="0"/>
    </xf>
    <xf numFmtId="0" fontId="4" fillId="0" borderId="13" xfId="0" applyNumberFormat="1" applyFont="1" applyFill="1" applyBorder="1" applyAlignment="1" applyProtection="1">
      <alignment horizontal="center" vertical="center"/>
      <protection locked="0"/>
    </xf>
    <xf numFmtId="0" fontId="4" fillId="0" borderId="1" xfId="0" applyFont="1" applyFill="1" applyBorder="1" applyAlignment="1" applyProtection="1">
      <alignment horizontal="left" vertical="center"/>
    </xf>
    <xf numFmtId="0" fontId="4" fillId="0" borderId="2" xfId="0" applyFont="1" applyFill="1" applyBorder="1" applyAlignment="1" applyProtection="1">
      <alignment horizontal="left" vertical="center"/>
    </xf>
    <xf numFmtId="166" fontId="4" fillId="0" borderId="4" xfId="0" applyNumberFormat="1" applyFont="1" applyFill="1" applyBorder="1" applyAlignment="1" applyProtection="1">
      <alignment horizontal="center"/>
    </xf>
    <xf numFmtId="0" fontId="1" fillId="0" borderId="18" xfId="0" applyFont="1" applyFill="1" applyBorder="1" applyAlignment="1" applyProtection="1">
      <alignment horizontal="left"/>
    </xf>
    <xf numFmtId="0" fontId="1" fillId="0" borderId="4" xfId="0" applyFont="1" applyFill="1" applyBorder="1" applyAlignment="1" applyProtection="1">
      <alignment horizontal="left"/>
    </xf>
    <xf numFmtId="0" fontId="1" fillId="0" borderId="5" xfId="0" applyFont="1" applyFill="1" applyBorder="1" applyAlignment="1" applyProtection="1">
      <alignment horizontal="left"/>
    </xf>
    <xf numFmtId="164" fontId="4" fillId="3" borderId="2" xfId="0" applyNumberFormat="1" applyFont="1" applyFill="1" applyBorder="1" applyAlignment="1" applyProtection="1">
      <alignment horizontal="right"/>
      <protection locked="0"/>
    </xf>
    <xf numFmtId="0" fontId="4" fillId="3" borderId="2" xfId="0" applyFont="1" applyFill="1" applyBorder="1" applyAlignment="1" applyProtection="1">
      <alignment horizontal="center"/>
      <protection locked="0"/>
    </xf>
    <xf numFmtId="0" fontId="1" fillId="0" borderId="10" xfId="0" applyFont="1" applyFill="1" applyBorder="1" applyAlignment="1" applyProtection="1">
      <alignment horizontal="left"/>
    </xf>
    <xf numFmtId="167" fontId="4" fillId="3" borderId="23" xfId="0" applyNumberFormat="1" applyFont="1" applyFill="1" applyBorder="1" applyAlignment="1" applyProtection="1">
      <alignment horizontal="center"/>
      <protection locked="0"/>
    </xf>
    <xf numFmtId="167" fontId="4" fillId="3" borderId="11" xfId="0" applyNumberFormat="1" applyFont="1" applyFill="1" applyBorder="1" applyAlignment="1" applyProtection="1">
      <alignment horizontal="center"/>
      <protection locked="0"/>
    </xf>
    <xf numFmtId="168" fontId="4" fillId="3" borderId="11" xfId="0" applyNumberFormat="1" applyFont="1" applyFill="1" applyBorder="1" applyAlignment="1" applyProtection="1">
      <alignment horizontal="center"/>
      <protection locked="0"/>
    </xf>
    <xf numFmtId="168" fontId="4" fillId="3" borderId="12" xfId="0" applyNumberFormat="1" applyFont="1" applyFill="1" applyBorder="1" applyAlignment="1" applyProtection="1">
      <alignment horizontal="center"/>
      <protection locked="0"/>
    </xf>
    <xf numFmtId="0" fontId="4" fillId="3" borderId="2" xfId="0" applyFont="1" applyFill="1" applyBorder="1" applyAlignment="1" applyProtection="1">
      <alignment horizontal="right"/>
      <protection locked="0"/>
    </xf>
    <xf numFmtId="0" fontId="3" fillId="0" borderId="25" xfId="0" applyFont="1" applyFill="1" applyBorder="1" applyAlignment="1" applyProtection="1">
      <alignment horizontal="center" vertical="center" wrapText="1"/>
      <protection locked="0"/>
    </xf>
    <xf numFmtId="0" fontId="3" fillId="0" borderId="16" xfId="0" applyFont="1" applyFill="1" applyBorder="1" applyAlignment="1" applyProtection="1">
      <alignment horizontal="center" vertical="center" wrapText="1"/>
      <protection locked="0"/>
    </xf>
    <xf numFmtId="0" fontId="3" fillId="0" borderId="25" xfId="0" applyFont="1" applyFill="1" applyBorder="1" applyAlignment="1" applyProtection="1">
      <alignment horizontal="center" vertical="center"/>
    </xf>
    <xf numFmtId="0" fontId="3" fillId="0" borderId="15" xfId="0" applyFont="1" applyFill="1" applyBorder="1" applyAlignment="1" applyProtection="1">
      <alignment horizontal="center" vertical="center"/>
    </xf>
    <xf numFmtId="0" fontId="3" fillId="0" borderId="26" xfId="0" applyFont="1" applyFill="1" applyBorder="1" applyAlignment="1" applyProtection="1">
      <alignment horizontal="center" vertical="center"/>
    </xf>
    <xf numFmtId="0" fontId="1" fillId="0" borderId="22" xfId="0" applyFont="1" applyFill="1" applyBorder="1" applyAlignment="1" applyProtection="1">
      <alignment horizontal="left" vertical="center"/>
    </xf>
    <xf numFmtId="0" fontId="1" fillId="0" borderId="2" xfId="0" applyFont="1" applyFill="1" applyBorder="1" applyAlignment="1" applyProtection="1">
      <alignment horizontal="left" vertical="center"/>
    </xf>
    <xf numFmtId="0" fontId="1" fillId="0" borderId="9" xfId="0" applyFont="1" applyFill="1" applyBorder="1" applyAlignment="1" applyProtection="1">
      <alignment horizontal="left" vertical="center"/>
    </xf>
    <xf numFmtId="0" fontId="2" fillId="0" borderId="7" xfId="0" applyFont="1" applyFill="1" applyBorder="1" applyAlignment="1" applyProtection="1">
      <alignment horizontal="left" wrapText="1"/>
    </xf>
    <xf numFmtId="0" fontId="2" fillId="0" borderId="4" xfId="0" applyFont="1" applyFill="1" applyBorder="1" applyAlignment="1" applyProtection="1">
      <alignment horizontal="left" wrapText="1"/>
    </xf>
    <xf numFmtId="165" fontId="4" fillId="3" borderId="1" xfId="0" applyNumberFormat="1" applyFont="1" applyFill="1" applyBorder="1" applyAlignment="1" applyProtection="1">
      <alignment horizontal="center" vertical="center"/>
      <protection locked="0"/>
    </xf>
    <xf numFmtId="165" fontId="4" fillId="3" borderId="2" xfId="0" applyNumberFormat="1" applyFont="1" applyFill="1" applyBorder="1" applyAlignment="1" applyProtection="1">
      <alignment horizontal="center" vertical="center"/>
      <protection locked="0"/>
    </xf>
    <xf numFmtId="0" fontId="21" fillId="0" borderId="2" xfId="0" applyNumberFormat="1" applyFont="1" applyFill="1" applyBorder="1" applyAlignment="1" applyProtection="1">
      <alignment horizontal="center" vertical="center"/>
    </xf>
    <xf numFmtId="0" fontId="21" fillId="0" borderId="9" xfId="0" applyNumberFormat="1" applyFont="1" applyFill="1" applyBorder="1" applyAlignment="1" applyProtection="1">
      <alignment horizontal="center" vertical="center"/>
    </xf>
    <xf numFmtId="0" fontId="2" fillId="0" borderId="7" xfId="0" applyFont="1" applyFill="1" applyBorder="1" applyAlignment="1" applyProtection="1">
      <alignment horizontal="left" vertical="top" wrapText="1"/>
    </xf>
    <xf numFmtId="0" fontId="2" fillId="0" borderId="4" xfId="0" applyFont="1" applyFill="1" applyBorder="1" applyAlignment="1" applyProtection="1">
      <alignment horizontal="left" vertical="top" wrapText="1"/>
    </xf>
    <xf numFmtId="0" fontId="2" fillId="0" borderId="5" xfId="0" applyFont="1" applyFill="1" applyBorder="1" applyAlignment="1" applyProtection="1">
      <alignment horizontal="left" vertical="top" wrapText="1"/>
    </xf>
    <xf numFmtId="0" fontId="3" fillId="0" borderId="14" xfId="0" applyFont="1" applyFill="1" applyBorder="1" applyAlignment="1" applyProtection="1">
      <alignment horizontal="left" vertical="center"/>
    </xf>
    <xf numFmtId="0" fontId="3" fillId="0" borderId="15" xfId="0" applyFont="1" applyFill="1" applyBorder="1" applyAlignment="1" applyProtection="1">
      <alignment horizontal="left" vertical="center"/>
    </xf>
    <xf numFmtId="0" fontId="3" fillId="0" borderId="16" xfId="0" applyFont="1" applyFill="1" applyBorder="1" applyAlignment="1" applyProtection="1">
      <alignment horizontal="left" vertical="center"/>
    </xf>
    <xf numFmtId="0" fontId="3" fillId="0" borderId="25" xfId="0" applyFont="1" applyFill="1" applyBorder="1" applyAlignment="1" applyProtection="1">
      <alignment horizontal="center"/>
    </xf>
    <xf numFmtId="0" fontId="3" fillId="0" borderId="15" xfId="0" applyFont="1" applyFill="1" applyBorder="1" applyAlignment="1" applyProtection="1">
      <alignment horizontal="center"/>
    </xf>
    <xf numFmtId="0" fontId="3" fillId="0" borderId="16" xfId="0" applyFont="1" applyFill="1" applyBorder="1" applyAlignment="1" applyProtection="1">
      <alignment horizontal="center"/>
    </xf>
    <xf numFmtId="0" fontId="3" fillId="0" borderId="22" xfId="0" applyFont="1" applyFill="1" applyBorder="1" applyAlignment="1" applyProtection="1">
      <alignment horizontal="left" vertical="top"/>
    </xf>
    <xf numFmtId="0" fontId="3" fillId="0" borderId="2" xfId="0" applyFont="1" applyFill="1" applyBorder="1" applyAlignment="1" applyProtection="1">
      <alignment horizontal="left" vertical="top"/>
    </xf>
    <xf numFmtId="0" fontId="3" fillId="0" borderId="9" xfId="0" applyFont="1" applyFill="1" applyBorder="1" applyAlignment="1" applyProtection="1">
      <alignment horizontal="left" vertical="top"/>
    </xf>
    <xf numFmtId="0" fontId="1" fillId="0" borderId="7" xfId="0" applyFont="1" applyFill="1" applyBorder="1" applyAlignment="1" applyProtection="1">
      <alignment horizontal="left"/>
    </xf>
    <xf numFmtId="0" fontId="1" fillId="0" borderId="7" xfId="0" applyFont="1" applyFill="1" applyBorder="1" applyAlignment="1" applyProtection="1">
      <alignment horizontal="left" vertical="center" wrapText="1"/>
    </xf>
    <xf numFmtId="0" fontId="1" fillId="0" borderId="4" xfId="0" applyFont="1" applyFill="1" applyBorder="1" applyAlignment="1" applyProtection="1">
      <alignment horizontal="left" vertical="center" wrapText="1"/>
    </xf>
    <xf numFmtId="0" fontId="1" fillId="0" borderId="27" xfId="0" applyFont="1" applyFill="1" applyBorder="1" applyAlignment="1" applyProtection="1">
      <alignment horizontal="left" vertical="center" wrapText="1"/>
    </xf>
    <xf numFmtId="0" fontId="1" fillId="0" borderId="23" xfId="0" applyFont="1" applyFill="1" applyBorder="1" applyAlignment="1" applyProtection="1">
      <alignment horizontal="left" vertical="center" wrapText="1"/>
    </xf>
    <xf numFmtId="0" fontId="1" fillId="0" borderId="11" xfId="0" applyFont="1" applyFill="1" applyBorder="1" applyAlignment="1" applyProtection="1">
      <alignment horizontal="left" vertical="center" wrapText="1"/>
    </xf>
    <xf numFmtId="0" fontId="1" fillId="0" borderId="28" xfId="0" applyFont="1" applyFill="1" applyBorder="1" applyAlignment="1" applyProtection="1">
      <alignment horizontal="left" vertical="center" wrapText="1"/>
    </xf>
    <xf numFmtId="165" fontId="3" fillId="0" borderId="29" xfId="0" applyNumberFormat="1" applyFont="1" applyFill="1" applyBorder="1" applyAlignment="1" applyProtection="1">
      <alignment horizontal="center" vertical="center"/>
    </xf>
    <xf numFmtId="165" fontId="3" fillId="0" borderId="30" xfId="0" applyNumberFormat="1" applyFont="1" applyFill="1" applyBorder="1" applyAlignment="1" applyProtection="1">
      <alignment horizontal="center" vertical="center"/>
    </xf>
    <xf numFmtId="0" fontId="4" fillId="0" borderId="29" xfId="0" applyNumberFormat="1" applyFont="1" applyFill="1" applyBorder="1" applyAlignment="1" applyProtection="1">
      <alignment horizontal="center" vertical="center"/>
      <protection locked="0"/>
    </xf>
    <xf numFmtId="0" fontId="4" fillId="0" borderId="30" xfId="0" applyNumberFormat="1" applyFont="1" applyFill="1" applyBorder="1" applyAlignment="1" applyProtection="1">
      <alignment horizontal="center" vertical="center"/>
      <protection locked="0"/>
    </xf>
    <xf numFmtId="0" fontId="4" fillId="0" borderId="32" xfId="0" applyNumberFormat="1" applyFont="1" applyFill="1" applyBorder="1" applyAlignment="1" applyProtection="1">
      <alignment horizontal="center" vertical="center"/>
      <protection locked="0"/>
    </xf>
    <xf numFmtId="0" fontId="17" fillId="0" borderId="19" xfId="0" applyFont="1" applyFill="1" applyBorder="1" applyAlignment="1" applyProtection="1">
      <alignment horizontal="left" wrapText="1"/>
    </xf>
    <xf numFmtId="0" fontId="17" fillId="0" borderId="0" xfId="0" applyFont="1" applyFill="1" applyBorder="1" applyAlignment="1" applyProtection="1">
      <alignment horizontal="left" wrapText="1"/>
    </xf>
    <xf numFmtId="0" fontId="17" fillId="0" borderId="6" xfId="0" applyFont="1" applyFill="1" applyBorder="1" applyAlignment="1" applyProtection="1">
      <alignment horizontal="left" wrapText="1"/>
    </xf>
    <xf numFmtId="0" fontId="17" fillId="0" borderId="33" xfId="0" applyFont="1" applyFill="1" applyBorder="1" applyAlignment="1" applyProtection="1">
      <alignment horizontal="left" wrapText="1"/>
    </xf>
    <xf numFmtId="0" fontId="17" fillId="0" borderId="11" xfId="0" applyFont="1" applyFill="1" applyBorder="1" applyAlignment="1" applyProtection="1">
      <alignment horizontal="left" wrapText="1"/>
    </xf>
    <xf numFmtId="0" fontId="17" fillId="0" borderId="12" xfId="0" applyFont="1" applyFill="1" applyBorder="1" applyAlignment="1" applyProtection="1">
      <alignment horizontal="left" wrapText="1"/>
    </xf>
    <xf numFmtId="0" fontId="1" fillId="0" borderId="1" xfId="0" applyFont="1" applyFill="1" applyBorder="1" applyAlignment="1" applyProtection="1">
      <alignment horizontal="left"/>
    </xf>
    <xf numFmtId="0" fontId="1" fillId="0" borderId="2" xfId="0" applyFont="1" applyFill="1" applyBorder="1" applyAlignment="1" applyProtection="1">
      <alignment horizontal="left"/>
    </xf>
    <xf numFmtId="0" fontId="1" fillId="0" borderId="9" xfId="0" applyFont="1" applyFill="1" applyBorder="1" applyAlignment="1" applyProtection="1">
      <alignment horizontal="left"/>
    </xf>
    <xf numFmtId="0" fontId="6" fillId="0" borderId="35" xfId="0" applyFont="1" applyFill="1" applyBorder="1" applyAlignment="1" applyProtection="1">
      <alignment horizontal="left" vertical="center" wrapText="1"/>
    </xf>
    <xf numFmtId="0" fontId="6" fillId="0" borderId="30" xfId="0" applyFont="1" applyFill="1" applyBorder="1" applyAlignment="1" applyProtection="1">
      <alignment horizontal="left" vertical="center" wrapText="1"/>
    </xf>
    <xf numFmtId="0" fontId="6" fillId="0" borderId="32" xfId="0" applyFont="1" applyFill="1" applyBorder="1" applyAlignment="1" applyProtection="1">
      <alignment horizontal="left" vertical="center" wrapText="1"/>
    </xf>
    <xf numFmtId="0" fontId="3" fillId="0" borderId="26" xfId="0" applyFont="1" applyFill="1" applyBorder="1" applyAlignment="1" applyProtection="1">
      <alignment horizontal="center"/>
    </xf>
    <xf numFmtId="0" fontId="4" fillId="0" borderId="1" xfId="0" applyNumberFormat="1" applyFont="1" applyFill="1" applyBorder="1" applyAlignment="1" applyProtection="1">
      <alignment horizontal="left" vertical="center"/>
      <protection locked="0"/>
    </xf>
    <xf numFmtId="0" fontId="4" fillId="0" borderId="2" xfId="0" applyNumberFormat="1" applyFont="1" applyFill="1" applyBorder="1" applyAlignment="1" applyProtection="1">
      <alignment horizontal="left" vertical="center"/>
      <protection locked="0"/>
    </xf>
    <xf numFmtId="0" fontId="4" fillId="0" borderId="13" xfId="0" applyNumberFormat="1" applyFont="1" applyFill="1" applyBorder="1" applyAlignment="1" applyProtection="1">
      <alignment horizontal="left" vertical="center"/>
      <protection locked="0"/>
    </xf>
    <xf numFmtId="0" fontId="6" fillId="0" borderId="1" xfId="0" applyFont="1" applyFill="1" applyBorder="1" applyAlignment="1" applyProtection="1">
      <alignment horizontal="left"/>
      <protection locked="0"/>
    </xf>
    <xf numFmtId="0" fontId="6" fillId="0" borderId="2" xfId="0" applyFont="1" applyFill="1" applyBorder="1" applyAlignment="1" applyProtection="1">
      <alignment horizontal="left"/>
      <protection locked="0"/>
    </xf>
    <xf numFmtId="0" fontId="6" fillId="0" borderId="13" xfId="0" applyFont="1" applyFill="1" applyBorder="1" applyAlignment="1" applyProtection="1">
      <alignment horizontal="left"/>
      <protection locked="0"/>
    </xf>
    <xf numFmtId="0" fontId="2" fillId="0" borderId="20" xfId="0" applyFont="1" applyFill="1" applyBorder="1" applyAlignment="1" applyProtection="1">
      <alignment horizontal="left" vertical="top" wrapText="1"/>
    </xf>
    <xf numFmtId="0" fontId="2" fillId="0" borderId="21" xfId="0" applyFont="1" applyFill="1" applyBorder="1" applyAlignment="1" applyProtection="1">
      <alignment horizontal="left" vertical="top" wrapText="1"/>
    </xf>
    <xf numFmtId="0" fontId="2" fillId="0" borderId="36" xfId="0" applyFont="1" applyFill="1" applyBorder="1" applyAlignment="1" applyProtection="1">
      <alignment horizontal="left" vertical="top" wrapText="1"/>
    </xf>
    <xf numFmtId="0" fontId="3" fillId="7" borderId="39" xfId="0" applyFont="1" applyFill="1" applyBorder="1" applyAlignment="1" applyProtection="1">
      <alignment horizontal="center" vertical="center"/>
    </xf>
    <xf numFmtId="0" fontId="4" fillId="0" borderId="11" xfId="0" applyFont="1" applyFill="1" applyBorder="1" applyAlignment="1" applyProtection="1">
      <alignment horizontal="center"/>
      <protection locked="0"/>
    </xf>
    <xf numFmtId="0" fontId="2" fillId="0" borderId="7" xfId="0" applyFont="1" applyFill="1" applyBorder="1" applyAlignment="1" applyProtection="1">
      <alignment horizontal="left" vertical="center" wrapText="1"/>
    </xf>
    <xf numFmtId="0" fontId="2" fillId="0" borderId="4" xfId="0" applyFont="1" applyFill="1" applyBorder="1" applyAlignment="1" applyProtection="1">
      <alignment horizontal="left" vertical="center" wrapText="1"/>
    </xf>
    <xf numFmtId="0" fontId="2" fillId="0" borderId="5" xfId="0" applyFont="1" applyFill="1" applyBorder="1" applyAlignment="1" applyProtection="1">
      <alignment horizontal="left" vertical="center" wrapText="1"/>
    </xf>
    <xf numFmtId="0" fontId="2" fillId="0" borderId="23" xfId="0" applyFont="1" applyFill="1" applyBorder="1" applyAlignment="1" applyProtection="1">
      <alignment horizontal="left" vertical="center" wrapText="1"/>
    </xf>
    <xf numFmtId="0" fontId="2" fillId="0" borderId="11" xfId="0" applyFont="1" applyFill="1" applyBorder="1" applyAlignment="1" applyProtection="1">
      <alignment horizontal="left" vertical="center" wrapText="1"/>
    </xf>
    <xf numFmtId="0" fontId="2" fillId="0" borderId="12" xfId="0" applyFont="1" applyFill="1" applyBorder="1" applyAlignment="1" applyProtection="1">
      <alignment horizontal="left" vertical="center" wrapText="1"/>
    </xf>
    <xf numFmtId="0" fontId="3" fillId="7" borderId="37" xfId="0" applyFont="1" applyFill="1" applyBorder="1" applyAlignment="1" applyProtection="1">
      <alignment horizontal="center" vertical="center"/>
    </xf>
    <xf numFmtId="0" fontId="3" fillId="7" borderId="21" xfId="0" applyFont="1" applyFill="1" applyBorder="1" applyAlignment="1" applyProtection="1">
      <alignment horizontal="center" vertical="center"/>
    </xf>
    <xf numFmtId="0" fontId="3" fillId="7" borderId="36" xfId="0" applyFont="1" applyFill="1" applyBorder="1" applyAlignment="1" applyProtection="1">
      <alignment horizontal="center" vertical="center"/>
    </xf>
    <xf numFmtId="0" fontId="6" fillId="0" borderId="37" xfId="0" applyFont="1" applyFill="1" applyBorder="1" applyAlignment="1" applyProtection="1">
      <alignment horizontal="left" wrapText="1" shrinkToFit="1"/>
      <protection locked="0"/>
    </xf>
    <xf numFmtId="0" fontId="6" fillId="0" borderId="21" xfId="0" applyFont="1" applyFill="1" applyBorder="1" applyAlignment="1" applyProtection="1">
      <alignment horizontal="left" wrapText="1" shrinkToFit="1"/>
      <protection locked="0"/>
    </xf>
    <xf numFmtId="0" fontId="6" fillId="0" borderId="38" xfId="0" applyFont="1" applyFill="1" applyBorder="1" applyAlignment="1" applyProtection="1">
      <alignment horizontal="left" wrapText="1" shrinkToFit="1"/>
      <protection locked="0"/>
    </xf>
    <xf numFmtId="0" fontId="3" fillId="0" borderId="25" xfId="0" applyFont="1" applyFill="1" applyBorder="1" applyAlignment="1" applyProtection="1">
      <alignment horizontal="left" vertical="center"/>
    </xf>
    <xf numFmtId="0" fontId="3" fillId="0" borderId="26" xfId="0" applyFont="1" applyFill="1" applyBorder="1" applyAlignment="1" applyProtection="1">
      <alignment horizontal="left" vertical="center"/>
    </xf>
    <xf numFmtId="0" fontId="3" fillId="5" borderId="1" xfId="0" applyFont="1" applyFill="1" applyBorder="1" applyAlignment="1" applyProtection="1">
      <alignment horizontal="center"/>
      <protection locked="0"/>
    </xf>
    <xf numFmtId="0" fontId="3" fillId="5" borderId="2" xfId="0" applyFont="1" applyFill="1" applyBorder="1" applyAlignment="1" applyProtection="1">
      <alignment horizontal="center"/>
      <protection locked="0"/>
    </xf>
    <xf numFmtId="0" fontId="3" fillId="5" borderId="9" xfId="0" applyFont="1" applyFill="1" applyBorder="1" applyAlignment="1" applyProtection="1">
      <alignment horizontal="center"/>
      <protection locked="0"/>
    </xf>
    <xf numFmtId="165" fontId="4" fillId="0" borderId="1" xfId="0" applyNumberFormat="1" applyFont="1" applyFill="1" applyBorder="1" applyAlignment="1" applyProtection="1">
      <alignment horizontal="center" vertical="center"/>
    </xf>
    <xf numFmtId="165" fontId="4" fillId="0" borderId="2" xfId="0" applyNumberFormat="1" applyFont="1" applyFill="1" applyBorder="1" applyAlignment="1" applyProtection="1">
      <alignment horizontal="center" vertical="center"/>
    </xf>
    <xf numFmtId="165" fontId="3" fillId="0" borderId="7" xfId="0" applyNumberFormat="1" applyFont="1" applyFill="1" applyBorder="1" applyAlignment="1" applyProtection="1">
      <alignment horizontal="center" vertical="center"/>
    </xf>
    <xf numFmtId="165" fontId="3" fillId="0" borderId="5" xfId="0" applyNumberFormat="1" applyFont="1" applyFill="1" applyBorder="1" applyAlignment="1" applyProtection="1">
      <alignment horizontal="center" vertical="center"/>
    </xf>
    <xf numFmtId="165" fontId="3" fillId="0" borderId="23" xfId="0" applyNumberFormat="1" applyFont="1" applyFill="1" applyBorder="1" applyAlignment="1" applyProtection="1">
      <alignment horizontal="center" vertical="center"/>
    </xf>
    <xf numFmtId="165" fontId="3" fillId="0" borderId="12" xfId="0" applyNumberFormat="1" applyFont="1" applyFill="1" applyBorder="1" applyAlignment="1" applyProtection="1">
      <alignment horizontal="center" vertical="center"/>
    </xf>
    <xf numFmtId="0" fontId="2" fillId="0" borderId="18" xfId="0" applyFont="1" applyFill="1" applyBorder="1" applyAlignment="1" applyProtection="1">
      <alignment horizontal="left" vertical="center"/>
    </xf>
    <xf numFmtId="0" fontId="2" fillId="0" borderId="4" xfId="0" applyFont="1" applyFill="1" applyBorder="1" applyAlignment="1" applyProtection="1">
      <alignment horizontal="left" vertical="center"/>
    </xf>
    <xf numFmtId="0" fontId="2" fillId="0" borderId="5" xfId="0" applyFont="1" applyFill="1" applyBorder="1" applyAlignment="1" applyProtection="1">
      <alignment horizontal="left" vertical="center"/>
    </xf>
    <xf numFmtId="0" fontId="2" fillId="0" borderId="33" xfId="0" applyFont="1" applyFill="1" applyBorder="1" applyAlignment="1" applyProtection="1">
      <alignment horizontal="left" vertical="center"/>
    </xf>
    <xf numFmtId="0" fontId="2" fillId="0" borderId="11" xfId="0" applyFont="1" applyFill="1" applyBorder="1" applyAlignment="1" applyProtection="1">
      <alignment horizontal="left" vertical="center"/>
    </xf>
    <xf numFmtId="0" fontId="2" fillId="0" borderId="12" xfId="0" applyFont="1" applyFill="1" applyBorder="1" applyAlignment="1" applyProtection="1">
      <alignment horizontal="left" vertical="center"/>
    </xf>
    <xf numFmtId="165" fontId="3" fillId="0" borderId="1" xfId="0" applyNumberFormat="1" applyFont="1" applyFill="1" applyBorder="1" applyAlignment="1" applyProtection="1">
      <alignment horizontal="center" vertical="center"/>
    </xf>
    <xf numFmtId="165" fontId="3" fillId="0" borderId="2" xfId="0" applyNumberFormat="1" applyFont="1" applyFill="1" applyBorder="1" applyAlignment="1" applyProtection="1">
      <alignment horizontal="center" vertical="center"/>
    </xf>
    <xf numFmtId="165" fontId="3" fillId="0" borderId="9" xfId="0" applyNumberFormat="1" applyFont="1" applyFill="1" applyBorder="1" applyAlignment="1" applyProtection="1">
      <alignment horizontal="center" vertical="center"/>
    </xf>
    <xf numFmtId="0" fontId="2" fillId="0" borderId="22" xfId="0" applyFont="1" applyFill="1" applyBorder="1" applyAlignment="1" applyProtection="1">
      <alignment horizontal="left" vertical="top"/>
    </xf>
    <xf numFmtId="0" fontId="2" fillId="0" borderId="2" xfId="0" applyFont="1" applyFill="1" applyBorder="1" applyAlignment="1" applyProtection="1">
      <alignment horizontal="left" vertical="top"/>
    </xf>
    <xf numFmtId="0" fontId="2" fillId="0" borderId="9" xfId="0" applyFont="1" applyFill="1" applyBorder="1" applyAlignment="1" applyProtection="1">
      <alignment horizontal="left" vertical="top"/>
    </xf>
    <xf numFmtId="0" fontId="3" fillId="0" borderId="14" xfId="0" applyFont="1" applyFill="1" applyBorder="1" applyAlignment="1" applyProtection="1">
      <alignment horizontal="left" vertical="top"/>
    </xf>
    <xf numFmtId="0" fontId="3" fillId="0" borderId="15" xfId="0" applyFont="1" applyFill="1" applyBorder="1" applyAlignment="1" applyProtection="1">
      <alignment horizontal="left" vertical="top"/>
    </xf>
    <xf numFmtId="0" fontId="3" fillId="0" borderId="16" xfId="0" applyFont="1" applyFill="1" applyBorder="1" applyAlignment="1" applyProtection="1">
      <alignment horizontal="left" vertical="top"/>
    </xf>
    <xf numFmtId="0" fontId="6" fillId="0" borderId="1" xfId="0" applyFont="1" applyFill="1" applyBorder="1" applyAlignment="1" applyProtection="1">
      <alignment horizontal="center"/>
      <protection locked="0"/>
    </xf>
    <xf numFmtId="0" fontId="6" fillId="0" borderId="2" xfId="0" applyFont="1" applyFill="1" applyBorder="1" applyAlignment="1" applyProtection="1">
      <alignment horizontal="center"/>
      <protection locked="0"/>
    </xf>
    <xf numFmtId="0" fontId="6" fillId="0" borderId="13" xfId="0" applyFont="1" applyFill="1" applyBorder="1" applyAlignment="1" applyProtection="1">
      <alignment horizontal="center"/>
      <protection locked="0"/>
    </xf>
    <xf numFmtId="0" fontId="3" fillId="0" borderId="1" xfId="0" applyFont="1" applyFill="1" applyBorder="1" applyAlignment="1" applyProtection="1">
      <alignment horizontal="left"/>
      <protection locked="0"/>
    </xf>
    <xf numFmtId="0" fontId="3" fillId="0" borderId="2" xfId="0" applyFont="1" applyFill="1" applyBorder="1" applyAlignment="1" applyProtection="1">
      <alignment horizontal="left"/>
      <protection locked="0"/>
    </xf>
    <xf numFmtId="0" fontId="3" fillId="0" borderId="13" xfId="0" applyFont="1" applyFill="1" applyBorder="1" applyAlignment="1" applyProtection="1">
      <alignment horizontal="left"/>
      <protection locked="0"/>
    </xf>
    <xf numFmtId="165" fontId="3" fillId="0" borderId="1" xfId="0" applyNumberFormat="1" applyFont="1" applyBorder="1" applyAlignment="1">
      <alignment horizontal="center" vertical="center"/>
    </xf>
    <xf numFmtId="165" fontId="3" fillId="0" borderId="2" xfId="0" applyNumberFormat="1" applyFont="1" applyBorder="1" applyAlignment="1">
      <alignment horizontal="center" vertical="center"/>
    </xf>
    <xf numFmtId="165" fontId="3" fillId="0" borderId="9" xfId="0" applyNumberFormat="1" applyFont="1" applyBorder="1" applyAlignment="1">
      <alignment horizontal="center" vertical="center"/>
    </xf>
    <xf numFmtId="0" fontId="2" fillId="0" borderId="2" xfId="0" applyFont="1" applyFill="1" applyBorder="1" applyAlignment="1" applyProtection="1">
      <alignment horizontal="left" vertical="top" wrapText="1"/>
    </xf>
    <xf numFmtId="0" fontId="4" fillId="0" borderId="0" xfId="0" applyFont="1" applyFill="1" applyBorder="1" applyAlignment="1" applyProtection="1">
      <alignment horizontal="center"/>
    </xf>
    <xf numFmtId="15" fontId="4" fillId="0" borderId="11" xfId="0" applyNumberFormat="1" applyFont="1" applyFill="1" applyBorder="1" applyAlignment="1" applyProtection="1">
      <alignment horizontal="center"/>
      <protection locked="0"/>
    </xf>
    <xf numFmtId="0" fontId="1" fillId="0" borderId="1" xfId="0" applyFont="1" applyFill="1" applyBorder="1" applyAlignment="1" applyProtection="1">
      <alignment horizontal="left" vertical="top"/>
    </xf>
    <xf numFmtId="0" fontId="1" fillId="0" borderId="2" xfId="0" applyFont="1" applyFill="1" applyBorder="1" applyAlignment="1" applyProtection="1">
      <alignment horizontal="left" vertical="top"/>
    </xf>
    <xf numFmtId="0" fontId="3" fillId="0" borderId="1" xfId="0" applyFont="1" applyFill="1" applyBorder="1" applyAlignment="1" applyProtection="1">
      <alignment horizontal="left" vertical="top"/>
    </xf>
    <xf numFmtId="0" fontId="1" fillId="0" borderId="1" xfId="0" applyFont="1" applyFill="1" applyBorder="1" applyAlignment="1" applyProtection="1">
      <alignment horizontal="left" vertical="top" wrapText="1"/>
    </xf>
    <xf numFmtId="0" fontId="1" fillId="0" borderId="2" xfId="0" applyFont="1" applyFill="1" applyBorder="1" applyAlignment="1" applyProtection="1">
      <alignment horizontal="left" vertical="top" wrapText="1"/>
    </xf>
    <xf numFmtId="0" fontId="1" fillId="0" borderId="9" xfId="0" applyFont="1" applyFill="1" applyBorder="1" applyAlignment="1" applyProtection="1">
      <alignment horizontal="left" vertical="top" wrapText="1"/>
    </xf>
    <xf numFmtId="0" fontId="0" fillId="0" borderId="1" xfId="0" applyBorder="1" applyProtection="1"/>
    <xf numFmtId="0" fontId="0" fillId="0" borderId="2" xfId="0" applyBorder="1" applyProtection="1"/>
    <xf numFmtId="0" fontId="0" fillId="0" borderId="9" xfId="0" applyBorder="1" applyProtection="1"/>
    <xf numFmtId="0" fontId="2" fillId="0" borderId="1" xfId="0" applyFont="1" applyFill="1" applyBorder="1" applyAlignment="1" applyProtection="1">
      <alignment horizontal="left" vertical="center" wrapText="1"/>
    </xf>
    <xf numFmtId="0" fontId="2" fillId="0" borderId="2" xfId="0" applyFont="1" applyFill="1" applyBorder="1" applyAlignment="1" applyProtection="1">
      <alignment horizontal="left" vertical="center" wrapText="1"/>
    </xf>
    <xf numFmtId="0" fontId="2" fillId="0" borderId="9" xfId="0" applyFont="1" applyFill="1" applyBorder="1" applyAlignment="1" applyProtection="1">
      <alignment horizontal="left" vertical="center" wrapText="1"/>
    </xf>
    <xf numFmtId="0" fontId="1" fillId="0" borderId="1" xfId="0" applyFont="1" applyFill="1" applyBorder="1" applyAlignment="1" applyProtection="1">
      <alignment horizontal="left" vertical="center" wrapText="1"/>
    </xf>
    <xf numFmtId="0" fontId="1" fillId="0" borderId="2" xfId="0" applyFont="1" applyFill="1" applyBorder="1" applyAlignment="1" applyProtection="1">
      <alignment horizontal="left" vertical="center" wrapText="1"/>
    </xf>
    <xf numFmtId="0" fontId="1" fillId="0" borderId="9" xfId="0" applyFont="1" applyFill="1" applyBorder="1" applyAlignment="1" applyProtection="1">
      <alignment horizontal="left" vertical="center" wrapText="1"/>
    </xf>
    <xf numFmtId="0" fontId="3" fillId="0" borderId="3" xfId="0" applyFont="1" applyFill="1" applyBorder="1" applyAlignment="1" applyProtection="1">
      <alignment horizontal="center" vertical="center" textRotation="90"/>
    </xf>
    <xf numFmtId="0" fontId="3" fillId="0" borderId="24" xfId="0" applyFont="1" applyFill="1" applyBorder="1" applyAlignment="1" applyProtection="1">
      <alignment horizontal="center" vertical="center" textRotation="90"/>
    </xf>
    <xf numFmtId="0" fontId="2" fillId="0" borderId="22" xfId="0" applyFont="1" applyFill="1" applyBorder="1" applyAlignment="1" applyProtection="1">
      <alignment horizontal="left" vertical="top" wrapText="1"/>
    </xf>
    <xf numFmtId="0" fontId="2" fillId="0" borderId="9" xfId="0" applyFont="1" applyFill="1" applyBorder="1" applyAlignment="1" applyProtection="1">
      <alignment horizontal="left" vertical="top" wrapText="1"/>
    </xf>
    <xf numFmtId="0" fontId="3" fillId="0" borderId="25" xfId="0" applyFont="1" applyFill="1" applyBorder="1" applyAlignment="1" applyProtection="1">
      <alignment horizontal="center" vertical="center" wrapText="1"/>
    </xf>
    <xf numFmtId="0" fontId="3" fillId="0" borderId="16" xfId="0" applyFont="1" applyFill="1" applyBorder="1" applyAlignment="1" applyProtection="1">
      <alignment horizontal="center" vertical="center" wrapText="1"/>
    </xf>
    <xf numFmtId="0" fontId="19" fillId="8" borderId="1" xfId="0" applyFont="1" applyFill="1" applyBorder="1" applyAlignment="1" applyProtection="1">
      <alignment horizontal="center" vertical="center" wrapText="1" shrinkToFit="1"/>
      <protection locked="0"/>
    </xf>
    <xf numFmtId="0" fontId="19" fillId="8" borderId="2" xfId="0" applyFont="1" applyFill="1" applyBorder="1" applyAlignment="1" applyProtection="1">
      <alignment horizontal="center" vertical="center" wrapText="1" shrinkToFit="1"/>
      <protection locked="0"/>
    </xf>
    <xf numFmtId="0" fontId="19" fillId="8" borderId="13" xfId="0" applyFont="1" applyFill="1" applyBorder="1" applyAlignment="1" applyProtection="1">
      <alignment horizontal="center" vertical="center" wrapText="1" shrinkToFit="1"/>
      <protection locked="0"/>
    </xf>
    <xf numFmtId="0" fontId="3" fillId="0" borderId="23" xfId="0" applyFont="1" applyFill="1" applyBorder="1" applyAlignment="1" applyProtection="1">
      <alignment horizontal="left" vertical="top"/>
    </xf>
    <xf numFmtId="0" fontId="3" fillId="0" borderId="12" xfId="0" applyFont="1" applyFill="1" applyBorder="1" applyAlignment="1" applyProtection="1">
      <alignment horizontal="left" vertical="top"/>
    </xf>
    <xf numFmtId="0" fontId="3" fillId="0" borderId="1" xfId="0" applyFont="1" applyFill="1" applyBorder="1" applyAlignment="1" applyProtection="1">
      <alignment horizontal="center" vertical="top"/>
    </xf>
    <xf numFmtId="0" fontId="3" fillId="0" borderId="2" xfId="0" applyFont="1" applyFill="1" applyBorder="1" applyAlignment="1" applyProtection="1">
      <alignment horizontal="center" vertical="top"/>
    </xf>
    <xf numFmtId="0" fontId="3" fillId="0" borderId="9" xfId="0" applyFont="1" applyFill="1" applyBorder="1" applyAlignment="1" applyProtection="1">
      <alignment horizontal="center" vertical="top"/>
    </xf>
    <xf numFmtId="0" fontId="2" fillId="0" borderId="35" xfId="0" applyFont="1" applyFill="1" applyBorder="1" applyAlignment="1" applyProtection="1">
      <alignment horizontal="left" vertical="top"/>
    </xf>
    <xf numFmtId="0" fontId="2" fillId="0" borderId="30" xfId="0" applyFont="1" applyFill="1" applyBorder="1" applyAlignment="1" applyProtection="1">
      <alignment horizontal="left" vertical="top"/>
    </xf>
    <xf numFmtId="0" fontId="2" fillId="0" borderId="31" xfId="0" applyFont="1" applyFill="1" applyBorder="1" applyAlignment="1" applyProtection="1">
      <alignment horizontal="left" vertical="top"/>
    </xf>
    <xf numFmtId="0" fontId="20" fillId="0" borderId="1" xfId="0" applyFont="1" applyFill="1" applyBorder="1" applyAlignment="1" applyProtection="1">
      <alignment horizontal="left" wrapText="1"/>
      <protection locked="0"/>
    </xf>
    <xf numFmtId="0" fontId="20" fillId="0" borderId="2" xfId="0" applyFont="1" applyFill="1" applyBorder="1" applyAlignment="1" applyProtection="1">
      <alignment horizontal="left" wrapText="1"/>
      <protection locked="0"/>
    </xf>
    <xf numFmtId="0" fontId="20" fillId="0" borderId="13" xfId="0" applyFont="1" applyFill="1" applyBorder="1" applyAlignment="1" applyProtection="1">
      <alignment horizontal="left" wrapText="1"/>
      <protection locked="0"/>
    </xf>
    <xf numFmtId="0" fontId="1" fillId="0" borderId="34" xfId="0" applyFont="1" applyFill="1" applyBorder="1" applyAlignment="1" applyProtection="1">
      <alignment horizontal="left"/>
    </xf>
    <xf numFmtId="0" fontId="1" fillId="0" borderId="0" xfId="0" applyFont="1" applyFill="1" applyBorder="1" applyAlignment="1" applyProtection="1">
      <alignment horizontal="left"/>
    </xf>
    <xf numFmtId="0" fontId="1" fillId="0" borderId="6" xfId="0" applyFont="1" applyFill="1" applyBorder="1" applyAlignment="1" applyProtection="1">
      <alignment horizontal="left"/>
    </xf>
    <xf numFmtId="165" fontId="4" fillId="0" borderId="9" xfId="0" applyNumberFormat="1" applyFont="1" applyFill="1" applyBorder="1" applyAlignment="1" applyProtection="1">
      <alignment horizontal="center" vertical="center"/>
    </xf>
    <xf numFmtId="165" fontId="3" fillId="6" borderId="1" xfId="0" applyNumberFormat="1" applyFont="1" applyFill="1" applyBorder="1" applyAlignment="1" applyProtection="1">
      <alignment horizontal="center" vertical="center" wrapText="1"/>
      <protection locked="0"/>
    </xf>
    <xf numFmtId="165" fontId="3" fillId="6" borderId="2" xfId="0" applyNumberFormat="1" applyFont="1" applyFill="1" applyBorder="1" applyAlignment="1" applyProtection="1">
      <alignment horizontal="center" vertical="center" wrapText="1"/>
      <protection locked="0"/>
    </xf>
    <xf numFmtId="165" fontId="3" fillId="6" borderId="9" xfId="0" applyNumberFormat="1" applyFont="1" applyFill="1" applyBorder="1" applyAlignment="1" applyProtection="1">
      <alignment horizontal="center" vertical="center" wrapText="1"/>
      <protection locked="0"/>
    </xf>
    <xf numFmtId="0" fontId="22" fillId="0" borderId="1" xfId="0" applyFont="1" applyFill="1" applyBorder="1" applyAlignment="1" applyProtection="1">
      <alignment horizontal="left" vertical="top" wrapText="1"/>
      <protection locked="0"/>
    </xf>
    <xf numFmtId="0" fontId="22" fillId="0" borderId="2" xfId="0" applyFont="1" applyFill="1" applyBorder="1" applyAlignment="1" applyProtection="1">
      <alignment horizontal="left" vertical="top" wrapText="1"/>
      <protection locked="0"/>
    </xf>
    <xf numFmtId="0" fontId="22" fillId="0" borderId="13" xfId="0" applyFont="1" applyFill="1" applyBorder="1" applyAlignment="1" applyProtection="1">
      <alignment horizontal="left" vertical="top" wrapText="1"/>
      <protection locked="0"/>
    </xf>
    <xf numFmtId="2" fontId="4" fillId="0" borderId="1" xfId="0" applyNumberFormat="1" applyFont="1" applyFill="1" applyBorder="1" applyAlignment="1" applyProtection="1">
      <alignment horizontal="center" vertical="center"/>
    </xf>
    <xf numFmtId="2" fontId="4" fillId="0" borderId="2" xfId="0" applyNumberFormat="1" applyFont="1" applyFill="1" applyBorder="1" applyAlignment="1" applyProtection="1">
      <alignment horizontal="center" vertical="center"/>
    </xf>
    <xf numFmtId="0" fontId="1" fillId="0" borderId="0" xfId="0" applyFont="1" applyFill="1" applyBorder="1" applyAlignment="1">
      <alignment horizontal="left"/>
    </xf>
    <xf numFmtId="0" fontId="0" fillId="0" borderId="0" xfId="0" applyBorder="1"/>
    <xf numFmtId="0" fontId="3" fillId="0" borderId="0" xfId="0" applyFont="1" applyFill="1" applyBorder="1" applyAlignment="1">
      <alignment horizontal="center" vertical="top"/>
    </xf>
    <xf numFmtId="0" fontId="3" fillId="0" borderId="0" xfId="0" applyFont="1" applyFill="1" applyBorder="1" applyAlignment="1">
      <alignment horizontal="left" vertical="top"/>
    </xf>
    <xf numFmtId="0" fontId="3" fillId="0" borderId="0" xfId="0" applyFont="1" applyFill="1" applyBorder="1" applyAlignment="1">
      <alignment horizontal="center" vertical="center" textRotation="90"/>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Fill="1" applyBorder="1" applyAlignment="1">
      <alignment horizontal="left" vertical="center" wrapText="1"/>
    </xf>
  </cellXfs>
  <cellStyles count="2">
    <cellStyle name="Hyperlink" xfId="1" builtinId="8"/>
    <cellStyle name="Normal" xfId="0" builtinId="0"/>
  </cellStyles>
  <dxfs count="38">
    <dxf>
      <font>
        <color theme="0"/>
      </font>
      <border>
        <left style="thin">
          <color auto="1"/>
        </left>
        <right style="thin">
          <color auto="1"/>
        </right>
        <top style="thin">
          <color auto="1"/>
        </top>
        <bottom style="thin">
          <color auto="1"/>
        </bottom>
      </border>
    </dxf>
    <dxf>
      <font>
        <color theme="0"/>
      </font>
    </dxf>
    <dxf>
      <font>
        <color theme="0"/>
      </font>
    </dxf>
    <dxf>
      <fill>
        <patternFill>
          <bgColor rgb="FF00B050"/>
        </patternFill>
      </fill>
    </dxf>
    <dxf>
      <fill>
        <patternFill>
          <bgColor rgb="FFFF0000"/>
        </patternFill>
      </fill>
    </dxf>
    <dxf>
      <fill>
        <patternFill>
          <bgColor rgb="FF00B050"/>
        </patternFill>
      </fill>
    </dxf>
    <dxf>
      <fill>
        <patternFill patternType="solid">
          <fgColor indexed="64"/>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rgb="FF990033"/>
      </font>
      <fill>
        <patternFill>
          <bgColor theme="5" tint="0.59996337778862885"/>
        </patternFill>
      </fill>
    </dxf>
    <dxf>
      <font>
        <b/>
        <i val="0"/>
        <color rgb="FF009900"/>
      </font>
      <fill>
        <patternFill>
          <bgColor rgb="FFCCFFCC"/>
        </patternFill>
      </fill>
    </dxf>
    <dxf>
      <fill>
        <patternFill>
          <bgColor theme="0"/>
        </patternFill>
      </fill>
    </dxf>
    <dxf>
      <font>
        <b/>
        <i val="0"/>
        <color rgb="FF990033"/>
      </font>
      <fill>
        <patternFill>
          <bgColor theme="5" tint="0.79998168889431442"/>
        </patternFill>
      </fill>
    </dxf>
    <dxf>
      <fill>
        <patternFill>
          <bgColor theme="5" tint="0.39994506668294322"/>
        </patternFill>
      </fill>
    </dxf>
    <dxf>
      <font>
        <b/>
        <i val="0"/>
        <color rgb="FF990033"/>
      </font>
      <fill>
        <patternFill>
          <bgColor theme="5" tint="0.39994506668294322"/>
        </patternFill>
      </fill>
    </dxf>
    <dxf>
      <font>
        <b/>
        <i val="0"/>
        <color rgb="FF990033"/>
      </font>
      <fill>
        <patternFill>
          <bgColor theme="5" tint="0.59996337778862885"/>
        </patternFill>
      </fill>
    </dxf>
    <dxf>
      <font>
        <b/>
        <i val="0"/>
        <color rgb="FF00B050"/>
      </font>
      <fill>
        <patternFill>
          <bgColor rgb="FFCCFFFF"/>
        </patternFill>
      </fill>
    </dxf>
    <dxf>
      <font>
        <b/>
        <i val="0"/>
        <color rgb="FF669900"/>
      </font>
      <fill>
        <patternFill>
          <bgColor rgb="FFCCFFCC"/>
        </patternFill>
      </fill>
    </dxf>
    <dxf>
      <font>
        <b/>
        <i val="0"/>
        <color rgb="FF00B050"/>
      </font>
      <fill>
        <patternFill>
          <bgColor rgb="FFCCFFFF"/>
        </patternFill>
      </fill>
    </dxf>
    <dxf>
      <font>
        <b/>
        <i val="0"/>
        <color rgb="FF00B050"/>
      </font>
      <fill>
        <patternFill>
          <bgColor rgb="FFCCFFFF"/>
        </patternFill>
      </fill>
    </dxf>
    <dxf>
      <fill>
        <patternFill patternType="solid">
          <fgColor indexed="64"/>
          <bgColor rgb="FF00B050"/>
        </patternFill>
      </fill>
    </dxf>
    <dxf>
      <fill>
        <patternFill>
          <bgColor rgb="FFFF0000"/>
        </patternFill>
      </fill>
    </dxf>
    <dxf>
      <font>
        <b/>
        <i val="0"/>
        <color rgb="FF990033"/>
      </font>
      <fill>
        <patternFill>
          <bgColor theme="5" tint="0.59996337778862885"/>
        </patternFill>
      </fill>
    </dxf>
    <dxf>
      <font>
        <b/>
        <i val="0"/>
        <color rgb="FF009900"/>
      </font>
      <fill>
        <patternFill>
          <bgColor rgb="FFCCFFCC"/>
        </patternFill>
      </fill>
    </dxf>
    <dxf>
      <font>
        <b/>
        <i val="0"/>
        <color rgb="FF009900"/>
      </font>
      <fill>
        <patternFill>
          <bgColor rgb="FFCCFFFF"/>
        </patternFill>
      </fill>
    </dxf>
    <dxf>
      <font>
        <b/>
        <i val="0"/>
        <color rgb="FF00B050"/>
      </font>
      <fill>
        <patternFill>
          <bgColor rgb="FFCCFFFF"/>
        </patternFill>
      </fill>
    </dxf>
    <dxf>
      <fill>
        <patternFill>
          <bgColor rgb="FF00B050"/>
        </patternFill>
      </fill>
    </dxf>
    <dxf>
      <fill>
        <patternFill>
          <bgColor rgb="FFFF0000"/>
        </patternFill>
      </fill>
    </dxf>
    <dxf>
      <fill>
        <patternFill>
          <bgColor rgb="FF00B050"/>
        </patternFill>
      </fill>
    </dxf>
    <dxf>
      <fill>
        <patternFill patternType="solid">
          <fgColor indexed="64"/>
          <bgColor rgb="FFFF0000"/>
        </patternFill>
      </fill>
    </dxf>
    <dxf>
      <fill>
        <patternFill>
          <bgColor rgb="FF00B050"/>
        </patternFill>
      </fill>
    </dxf>
    <dxf>
      <fill>
        <patternFill>
          <bgColor rgb="FFFF0000"/>
        </patternFill>
      </fill>
    </dxf>
    <dxf>
      <fill>
        <patternFill>
          <bgColor theme="0"/>
        </patternFill>
      </fill>
    </dxf>
    <dxf>
      <fill>
        <patternFill>
          <bgColor rgb="FFFF0000"/>
        </patternFill>
      </fill>
    </dxf>
    <dxf>
      <font>
        <b/>
        <i val="0"/>
        <color rgb="FF990033"/>
      </font>
      <fill>
        <patternFill>
          <bgColor theme="5" tint="0.59996337778862885"/>
        </patternFill>
      </fill>
    </dxf>
    <dxf>
      <font>
        <b/>
        <i val="0"/>
        <color rgb="FF009900"/>
      </font>
      <fill>
        <patternFill>
          <bgColor rgb="FFCCFFCC"/>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CC"/>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2ECB6"/>
      <color rgb="FFD8EE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06/relationships/vbaProject" Target="vbaProject.bin"/><Relationship Id="rId4" Type="http://schemas.openxmlformats.org/officeDocument/2006/relationships/theme" Target="theme/theme1.xml"/><Relationship Id="rId9" Type="http://schemas.openxmlformats.org/officeDocument/2006/relationships/calcChain" Target="calcChain.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person displayName="Kedar Joglekar" id="{DC0DDF50-39F4-493A-8298-C7FF5637D65F}" userId="d12debffe2b7d3f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48" dT="2020-10-05T03:30:44.70" personId="{DC0DDF50-39F4-493A-8298-C7FF5637D65F}" id="{67D15419-F410-4A7B-A303-FABDE8680404}">
    <text>Add Draft and Cb applicable to your vessel here.</text>
  </threadedComment>
  <threadedComment ref="E67" dT="2020-10-05T03:31:15.99" personId="{DC0DDF50-39F4-493A-8298-C7FF5637D65F}" id="{CD001468-30F6-443E-84E7-E8C37132CF01}">
    <text>Enter Draft Increase for applicable angle of heel here for your vessel.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69"/>
  <sheetViews>
    <sheetView showGridLines="0" showZeros="0" tabSelected="1" zoomScale="110" zoomScaleNormal="110" workbookViewId="0">
      <selection activeCell="A40" sqref="A40:XFD40"/>
    </sheetView>
  </sheetViews>
  <sheetFormatPr defaultColWidth="0" defaultRowHeight="12.75" zeroHeight="1" x14ac:dyDescent="0.2"/>
  <cols>
    <col min="1" max="1" width="5.140625" style="31" customWidth="1"/>
    <col min="2" max="3" width="5.7109375" style="31" customWidth="1"/>
    <col min="4" max="18" width="6.28515625" style="31" customWidth="1"/>
    <col min="19" max="19" width="5.7109375" style="31" customWidth="1"/>
    <col min="20" max="16384" width="5.7109375" style="35" hidden="1"/>
  </cols>
  <sheetData>
    <row r="1" spans="1:19" s="32" customFormat="1" ht="32.25" customHeight="1" x14ac:dyDescent="0.2">
      <c r="A1" s="31"/>
      <c r="B1" s="81" t="s">
        <v>142</v>
      </c>
      <c r="C1" s="81"/>
      <c r="D1" s="81"/>
      <c r="E1" s="81"/>
      <c r="F1" s="81"/>
      <c r="G1" s="81"/>
      <c r="H1" s="81"/>
      <c r="I1" s="81"/>
      <c r="J1" s="81"/>
      <c r="K1" s="81"/>
      <c r="L1" s="81"/>
      <c r="M1" s="81"/>
      <c r="N1" s="81"/>
      <c r="O1" s="81"/>
      <c r="P1" s="81"/>
      <c r="Q1" s="81"/>
      <c r="R1" s="81"/>
      <c r="S1" s="31"/>
    </row>
    <row r="2" spans="1:19" s="32" customFormat="1" ht="14.25" customHeight="1" x14ac:dyDescent="0.2">
      <c r="A2" s="31"/>
      <c r="B2" s="33" t="s">
        <v>101</v>
      </c>
      <c r="C2" s="14"/>
      <c r="D2" s="14"/>
      <c r="E2" s="14"/>
      <c r="F2" s="14"/>
      <c r="G2" s="14"/>
      <c r="H2" s="33"/>
      <c r="I2" s="33"/>
      <c r="J2" s="33"/>
      <c r="K2" s="33"/>
      <c r="L2" s="33"/>
      <c r="M2" s="33"/>
      <c r="N2" s="33"/>
      <c r="O2" s="33"/>
      <c r="P2" s="33"/>
      <c r="Q2" s="33"/>
      <c r="R2" s="33"/>
      <c r="S2" s="31"/>
    </row>
    <row r="3" spans="1:19" s="32" customFormat="1" ht="1.1499999999999999" customHeight="1" x14ac:dyDescent="0.2">
      <c r="A3" s="31"/>
      <c r="B3" s="33"/>
      <c r="C3" s="34"/>
      <c r="D3" s="34"/>
      <c r="E3" s="34"/>
      <c r="F3" s="34"/>
      <c r="G3" s="34"/>
      <c r="H3" s="34"/>
      <c r="I3" s="34"/>
      <c r="J3" s="34"/>
      <c r="K3" s="34"/>
      <c r="L3" s="34"/>
      <c r="M3" s="34"/>
      <c r="N3" s="34"/>
      <c r="O3" s="34"/>
      <c r="P3" s="34"/>
      <c r="Q3" s="34"/>
      <c r="R3" s="34"/>
      <c r="S3" s="31"/>
    </row>
    <row r="4" spans="1:19" s="32" customFormat="1" ht="14.25" customHeight="1" x14ac:dyDescent="0.2">
      <c r="A4" s="31"/>
      <c r="B4" s="85" t="s">
        <v>133</v>
      </c>
      <c r="C4" s="85"/>
      <c r="D4" s="85"/>
      <c r="E4" s="85"/>
      <c r="F4" s="85"/>
      <c r="G4" s="85"/>
      <c r="H4" s="85"/>
      <c r="I4" s="85"/>
      <c r="J4" s="85"/>
      <c r="K4" s="85"/>
      <c r="L4" s="85"/>
      <c r="M4" s="85"/>
      <c r="N4" s="85"/>
      <c r="O4" s="85"/>
      <c r="P4" s="85"/>
      <c r="Q4" s="85"/>
      <c r="R4" s="85"/>
      <c r="S4" s="31"/>
    </row>
    <row r="5" spans="1:19" s="32" customFormat="1" ht="14.25" customHeight="1" x14ac:dyDescent="0.2">
      <c r="A5" s="31"/>
      <c r="B5" s="85"/>
      <c r="C5" s="85"/>
      <c r="D5" s="85"/>
      <c r="E5" s="85"/>
      <c r="F5" s="85"/>
      <c r="G5" s="85"/>
      <c r="H5" s="85"/>
      <c r="I5" s="85"/>
      <c r="J5" s="85"/>
      <c r="K5" s="85"/>
      <c r="L5" s="85"/>
      <c r="M5" s="85"/>
      <c r="N5" s="85"/>
      <c r="O5" s="85"/>
      <c r="P5" s="85"/>
      <c r="Q5" s="85"/>
      <c r="R5" s="85"/>
      <c r="S5" s="31"/>
    </row>
    <row r="6" spans="1:19" s="32" customFormat="1" ht="18.600000000000001" customHeight="1" x14ac:dyDescent="0.2">
      <c r="A6" s="31"/>
      <c r="B6" s="85"/>
      <c r="C6" s="85"/>
      <c r="D6" s="85"/>
      <c r="E6" s="85"/>
      <c r="F6" s="85"/>
      <c r="G6" s="85"/>
      <c r="H6" s="85"/>
      <c r="I6" s="85"/>
      <c r="J6" s="85"/>
      <c r="K6" s="85"/>
      <c r="L6" s="85"/>
      <c r="M6" s="85"/>
      <c r="N6" s="85"/>
      <c r="O6" s="85"/>
      <c r="P6" s="85"/>
      <c r="Q6" s="85"/>
      <c r="R6" s="85"/>
      <c r="S6" s="31"/>
    </row>
    <row r="7" spans="1:19" s="32" customFormat="1" ht="14.25" customHeight="1" x14ac:dyDescent="0.2">
      <c r="A7" s="31"/>
      <c r="B7" s="86" t="s">
        <v>132</v>
      </c>
      <c r="C7" s="86"/>
      <c r="D7" s="86"/>
      <c r="E7" s="86"/>
      <c r="F7" s="86"/>
      <c r="G7" s="86"/>
      <c r="H7" s="86"/>
      <c r="I7" s="86"/>
      <c r="J7" s="86"/>
      <c r="K7" s="86"/>
      <c r="L7" s="86"/>
      <c r="M7" s="86"/>
      <c r="N7" s="86"/>
      <c r="O7" s="86"/>
      <c r="P7" s="86"/>
      <c r="Q7" s="86"/>
      <c r="R7" s="86"/>
      <c r="S7" s="31"/>
    </row>
    <row r="8" spans="1:19" s="32" customFormat="1" x14ac:dyDescent="0.2">
      <c r="A8" s="31"/>
      <c r="B8" s="86"/>
      <c r="C8" s="86"/>
      <c r="D8" s="86"/>
      <c r="E8" s="86"/>
      <c r="F8" s="86"/>
      <c r="G8" s="86"/>
      <c r="H8" s="86"/>
      <c r="I8" s="86"/>
      <c r="J8" s="86"/>
      <c r="K8" s="86"/>
      <c r="L8" s="86"/>
      <c r="M8" s="86"/>
      <c r="N8" s="86"/>
      <c r="O8" s="86"/>
      <c r="P8" s="86"/>
      <c r="Q8" s="86"/>
      <c r="R8" s="86"/>
      <c r="S8" s="31"/>
    </row>
    <row r="9" spans="1:19" s="32" customFormat="1" ht="1.1499999999999999" customHeight="1" x14ac:dyDescent="0.2">
      <c r="A9" s="31"/>
      <c r="B9" s="33"/>
      <c r="C9" s="33"/>
      <c r="D9" s="33"/>
      <c r="E9" s="33"/>
      <c r="F9" s="33"/>
      <c r="G9" s="33"/>
      <c r="H9" s="33"/>
      <c r="I9" s="33"/>
      <c r="J9" s="33"/>
      <c r="K9" s="33"/>
      <c r="L9" s="33"/>
      <c r="M9" s="33"/>
      <c r="N9" s="33"/>
      <c r="O9" s="33"/>
      <c r="P9" s="33"/>
      <c r="Q9" s="33"/>
      <c r="R9" s="33"/>
      <c r="S9" s="31"/>
    </row>
    <row r="10" spans="1:19" ht="18" customHeight="1" x14ac:dyDescent="0.2">
      <c r="B10" s="82" t="s">
        <v>98</v>
      </c>
      <c r="C10" s="83"/>
      <c r="D10" s="83"/>
      <c r="E10" s="83"/>
      <c r="F10" s="83"/>
      <c r="G10" s="83"/>
      <c r="H10" s="83"/>
      <c r="I10" s="83"/>
      <c r="J10" s="83"/>
      <c r="K10" s="83"/>
      <c r="L10" s="83"/>
      <c r="M10" s="83"/>
      <c r="N10" s="83"/>
      <c r="O10" s="83"/>
      <c r="P10" s="83"/>
      <c r="Q10" s="83"/>
      <c r="R10" s="84"/>
    </row>
    <row r="11" spans="1:19" ht="18" customHeight="1" x14ac:dyDescent="0.2">
      <c r="B11" s="36" t="s">
        <v>0</v>
      </c>
      <c r="C11" s="37"/>
      <c r="D11" s="87"/>
      <c r="E11" s="87"/>
      <c r="F11" s="87"/>
      <c r="G11" s="87"/>
      <c r="H11" s="87"/>
      <c r="I11" s="87"/>
      <c r="J11" s="87"/>
      <c r="K11" s="87"/>
      <c r="L11" s="87"/>
      <c r="M11" s="88"/>
      <c r="N11" s="38" t="s">
        <v>2</v>
      </c>
      <c r="O11" s="39"/>
      <c r="P11" s="40"/>
      <c r="Q11" s="40"/>
      <c r="R11" s="41"/>
    </row>
    <row r="12" spans="1:19" ht="18" customHeight="1" x14ac:dyDescent="0.2">
      <c r="B12" s="42" t="s">
        <v>1</v>
      </c>
      <c r="C12" s="37"/>
      <c r="D12" s="87"/>
      <c r="E12" s="87"/>
      <c r="F12" s="87"/>
      <c r="G12" s="87"/>
      <c r="H12" s="87"/>
      <c r="I12" s="87"/>
      <c r="J12" s="87"/>
      <c r="K12" s="87"/>
      <c r="L12" s="87"/>
      <c r="M12" s="88"/>
      <c r="N12" s="101"/>
      <c r="O12" s="102"/>
      <c r="P12" s="6" t="s">
        <v>97</v>
      </c>
      <c r="Q12" s="103"/>
      <c r="R12" s="104"/>
    </row>
    <row r="13" spans="1:19" ht="18" customHeight="1" x14ac:dyDescent="0.2">
      <c r="B13" s="43"/>
      <c r="C13" s="44"/>
      <c r="D13" s="7"/>
      <c r="E13" s="7"/>
      <c r="F13" s="7"/>
      <c r="G13" s="7"/>
      <c r="H13" s="7"/>
      <c r="I13" s="7"/>
      <c r="J13" s="7"/>
      <c r="K13" s="42" t="s">
        <v>100</v>
      </c>
      <c r="L13" s="45"/>
      <c r="M13" s="45"/>
      <c r="N13" s="76"/>
      <c r="O13" s="105">
        <v>58</v>
      </c>
      <c r="P13" s="105"/>
      <c r="Q13" s="83" t="s">
        <v>93</v>
      </c>
      <c r="R13" s="84"/>
    </row>
    <row r="14" spans="1:19" ht="21.6" customHeight="1" x14ac:dyDescent="0.2">
      <c r="B14" s="42" t="s">
        <v>92</v>
      </c>
      <c r="C14" s="37"/>
      <c r="D14" s="37"/>
      <c r="E14" s="37"/>
      <c r="F14" s="37"/>
      <c r="G14" s="99">
        <v>2000</v>
      </c>
      <c r="H14" s="99"/>
      <c r="I14" s="45" t="s">
        <v>93</v>
      </c>
      <c r="J14" s="46"/>
      <c r="K14" s="45" t="s">
        <v>94</v>
      </c>
      <c r="L14" s="37"/>
      <c r="M14" s="37"/>
      <c r="N14" s="37"/>
      <c r="O14" s="98">
        <v>0</v>
      </c>
      <c r="P14" s="98"/>
      <c r="Q14" s="37" t="s">
        <v>140</v>
      </c>
      <c r="R14" s="46"/>
    </row>
    <row r="15" spans="1:19" ht="4.9000000000000004" customHeight="1" thickBot="1" x14ac:dyDescent="0.25">
      <c r="B15" s="114"/>
      <c r="C15" s="115"/>
      <c r="D15" s="115"/>
      <c r="E15" s="115"/>
      <c r="F15" s="115"/>
      <c r="G15" s="47"/>
      <c r="H15" s="47"/>
      <c r="I15" s="39"/>
      <c r="J15" s="41"/>
      <c r="K15" s="39"/>
      <c r="L15" s="40"/>
      <c r="M15" s="40"/>
      <c r="N15" s="40"/>
      <c r="O15" s="94"/>
      <c r="P15" s="94"/>
      <c r="Q15" s="40"/>
      <c r="R15" s="41"/>
    </row>
    <row r="16" spans="1:19" ht="31.5" customHeight="1" x14ac:dyDescent="0.2">
      <c r="B16" s="48" t="s">
        <v>3</v>
      </c>
      <c r="C16" s="49"/>
      <c r="D16" s="49"/>
      <c r="E16" s="50"/>
      <c r="F16" s="51"/>
      <c r="G16" s="51"/>
      <c r="H16" s="51"/>
      <c r="I16" s="52"/>
      <c r="J16" s="106" t="s">
        <v>28</v>
      </c>
      <c r="K16" s="107"/>
      <c r="L16" s="108" t="s">
        <v>9</v>
      </c>
      <c r="M16" s="109"/>
      <c r="N16" s="109"/>
      <c r="O16" s="109"/>
      <c r="P16" s="109"/>
      <c r="Q16" s="109"/>
      <c r="R16" s="110"/>
    </row>
    <row r="17" spans="1:19" s="54" customFormat="1" ht="15.75" customHeight="1" x14ac:dyDescent="0.2">
      <c r="A17" s="53"/>
      <c r="B17" s="111" t="s">
        <v>4</v>
      </c>
      <c r="C17" s="112"/>
      <c r="D17" s="113"/>
      <c r="E17" s="92" t="s">
        <v>5</v>
      </c>
      <c r="F17" s="93"/>
      <c r="G17" s="118"/>
      <c r="H17" s="118"/>
      <c r="I17" s="119"/>
      <c r="J17" s="116">
        <v>22.5</v>
      </c>
      <c r="K17" s="117"/>
      <c r="L17" s="89"/>
      <c r="M17" s="90"/>
      <c r="N17" s="90"/>
      <c r="O17" s="90"/>
      <c r="P17" s="90"/>
      <c r="Q17" s="90"/>
      <c r="R17" s="91"/>
      <c r="S17" s="53"/>
    </row>
    <row r="18" spans="1:19" ht="15.75" customHeight="1" x14ac:dyDescent="0.2">
      <c r="B18" s="95" t="s">
        <v>6</v>
      </c>
      <c r="C18" s="96"/>
      <c r="D18" s="97"/>
      <c r="E18" s="100" t="s">
        <v>7</v>
      </c>
      <c r="F18" s="100"/>
      <c r="G18" s="100"/>
      <c r="H18" s="100"/>
      <c r="I18" s="100"/>
      <c r="J18" s="116">
        <v>2</v>
      </c>
      <c r="K18" s="117"/>
      <c r="L18" s="89"/>
      <c r="M18" s="90"/>
      <c r="N18" s="90"/>
      <c r="O18" s="90"/>
      <c r="P18" s="90"/>
      <c r="Q18" s="90"/>
      <c r="R18" s="91"/>
    </row>
    <row r="19" spans="1:19" ht="15.75" customHeight="1" x14ac:dyDescent="0.2">
      <c r="B19" s="144"/>
      <c r="C19" s="145"/>
      <c r="D19" s="146"/>
      <c r="E19" s="100" t="s">
        <v>8</v>
      </c>
      <c r="F19" s="100"/>
      <c r="G19" s="100"/>
      <c r="H19" s="100"/>
      <c r="I19" s="100"/>
      <c r="J19" s="116"/>
      <c r="K19" s="117"/>
      <c r="L19" s="89"/>
      <c r="M19" s="90"/>
      <c r="N19" s="90"/>
      <c r="O19" s="90"/>
      <c r="P19" s="90"/>
      <c r="Q19" s="90"/>
      <c r="R19" s="91"/>
    </row>
    <row r="20" spans="1:19" ht="15.6" customHeight="1" x14ac:dyDescent="0.2">
      <c r="B20" s="147"/>
      <c r="C20" s="148"/>
      <c r="D20" s="149"/>
      <c r="E20" s="150" t="s">
        <v>35</v>
      </c>
      <c r="F20" s="151"/>
      <c r="G20" s="151"/>
      <c r="H20" s="151"/>
      <c r="I20" s="152"/>
      <c r="J20" s="116"/>
      <c r="K20" s="117"/>
      <c r="L20" s="157"/>
      <c r="M20" s="158"/>
      <c r="N20" s="158"/>
      <c r="O20" s="158"/>
      <c r="P20" s="158"/>
      <c r="Q20" s="158"/>
      <c r="R20" s="159"/>
    </row>
    <row r="21" spans="1:19" ht="21.6" customHeight="1" thickBot="1" x14ac:dyDescent="0.25">
      <c r="B21" s="55" t="s">
        <v>26</v>
      </c>
      <c r="C21" s="56"/>
      <c r="D21" s="56"/>
      <c r="E21" s="56"/>
      <c r="F21" s="56"/>
      <c r="G21" s="56"/>
      <c r="H21" s="56"/>
      <c r="I21" s="56"/>
      <c r="J21" s="139">
        <f>SUM(J17:K20)</f>
        <v>24.5</v>
      </c>
      <c r="K21" s="140"/>
      <c r="L21" s="141"/>
      <c r="M21" s="142"/>
      <c r="N21" s="142"/>
      <c r="O21" s="142"/>
      <c r="P21" s="142"/>
      <c r="Q21" s="142"/>
      <c r="R21" s="143"/>
    </row>
    <row r="22" spans="1:19" ht="18" customHeight="1" thickBot="1" x14ac:dyDescent="0.25">
      <c r="B22" s="57"/>
    </row>
    <row r="23" spans="1:19" ht="31.5" customHeight="1" x14ac:dyDescent="0.2">
      <c r="B23" s="123" t="s">
        <v>10</v>
      </c>
      <c r="C23" s="124"/>
      <c r="D23" s="124"/>
      <c r="E23" s="124"/>
      <c r="F23" s="124"/>
      <c r="G23" s="124"/>
      <c r="H23" s="124"/>
      <c r="I23" s="125"/>
      <c r="J23" s="237" t="str">
        <f>J16</f>
        <v>Metres</v>
      </c>
      <c r="K23" s="238"/>
      <c r="L23" s="180" t="s">
        <v>13</v>
      </c>
      <c r="M23" s="124"/>
      <c r="N23" s="124"/>
      <c r="O23" s="124"/>
      <c r="P23" s="124"/>
      <c r="Q23" s="124"/>
      <c r="R23" s="181"/>
    </row>
    <row r="24" spans="1:19" ht="21.6" customHeight="1" x14ac:dyDescent="0.2">
      <c r="B24" s="111" t="s">
        <v>11</v>
      </c>
      <c r="C24" s="112"/>
      <c r="D24" s="112"/>
      <c r="E24" s="112"/>
      <c r="F24" s="112"/>
      <c r="G24" s="112"/>
      <c r="H24" s="112"/>
      <c r="I24" s="113"/>
      <c r="J24" s="116">
        <v>21</v>
      </c>
      <c r="K24" s="117"/>
      <c r="L24" s="100" t="s">
        <v>14</v>
      </c>
      <c r="M24" s="100"/>
      <c r="N24" s="100"/>
      <c r="O24" s="100"/>
      <c r="P24" s="100"/>
      <c r="Q24" s="15">
        <f>Q27+Q26+Q25</f>
        <v>12</v>
      </c>
      <c r="R24" s="58" t="s">
        <v>19</v>
      </c>
    </row>
    <row r="25" spans="1:19" ht="21.6" customHeight="1" x14ac:dyDescent="0.2">
      <c r="B25" s="59" t="s">
        <v>6</v>
      </c>
      <c r="C25" s="41"/>
      <c r="D25" s="132" t="s">
        <v>135</v>
      </c>
      <c r="E25" s="96"/>
      <c r="F25" s="96"/>
      <c r="G25" s="96"/>
      <c r="H25" s="96"/>
      <c r="I25" s="97"/>
      <c r="J25" s="185" t="str">
        <f>IF(O14=0,"",Data!L46)</f>
        <v/>
      </c>
      <c r="K25" s="186"/>
      <c r="L25" s="100" t="s">
        <v>105</v>
      </c>
      <c r="M25" s="100"/>
      <c r="N25" s="100"/>
      <c r="O25" s="100"/>
      <c r="P25" s="100"/>
      <c r="Q25" s="5"/>
      <c r="R25" s="58" t="s">
        <v>19</v>
      </c>
    </row>
    <row r="26" spans="1:19" ht="21.6" customHeight="1" x14ac:dyDescent="0.2">
      <c r="B26" s="60"/>
      <c r="C26" s="61"/>
      <c r="D26" s="253" t="s">
        <v>36</v>
      </c>
      <c r="E26" s="254"/>
      <c r="F26" s="254"/>
      <c r="G26" s="254"/>
      <c r="H26" s="254"/>
      <c r="I26" s="255"/>
      <c r="J26" s="116"/>
      <c r="K26" s="117"/>
      <c r="L26" s="100" t="s">
        <v>106</v>
      </c>
      <c r="M26" s="100"/>
      <c r="N26" s="100"/>
      <c r="O26" s="100"/>
      <c r="P26" s="100"/>
      <c r="Q26" s="5"/>
      <c r="R26" s="58" t="s">
        <v>19</v>
      </c>
    </row>
    <row r="27" spans="1:19" ht="21.6" customHeight="1" x14ac:dyDescent="0.2">
      <c r="B27" s="60"/>
      <c r="C27" s="61"/>
      <c r="D27" s="253" t="s">
        <v>136</v>
      </c>
      <c r="E27" s="254"/>
      <c r="F27" s="254"/>
      <c r="G27" s="254"/>
      <c r="H27" s="254"/>
      <c r="I27" s="255"/>
      <c r="J27" s="185">
        <f>IF(Data!D4="Confined",Sheet1!B15,Sheet1!B17)</f>
        <v>1.1664000000000001</v>
      </c>
      <c r="K27" s="256"/>
      <c r="L27" s="120" t="s">
        <v>102</v>
      </c>
      <c r="M27" s="121"/>
      <c r="N27" s="121"/>
      <c r="O27" s="121"/>
      <c r="P27" s="122"/>
      <c r="Q27" s="5">
        <v>12</v>
      </c>
      <c r="R27" s="58" t="s">
        <v>19</v>
      </c>
    </row>
    <row r="28" spans="1:19" ht="13.9" customHeight="1" x14ac:dyDescent="0.2">
      <c r="B28" s="191" t="s">
        <v>12</v>
      </c>
      <c r="C28" s="192"/>
      <c r="D28" s="192"/>
      <c r="E28" s="192"/>
      <c r="F28" s="192"/>
      <c r="G28" s="192"/>
      <c r="H28" s="192"/>
      <c r="I28" s="193"/>
      <c r="J28" s="187">
        <f>SUM(J24:K27)</f>
        <v>22.166399999999999</v>
      </c>
      <c r="K28" s="188"/>
      <c r="L28" s="133" t="s">
        <v>103</v>
      </c>
      <c r="M28" s="134"/>
      <c r="N28" s="134"/>
      <c r="O28" s="134"/>
      <c r="P28" s="134"/>
      <c r="Q28" s="134"/>
      <c r="R28" s="135"/>
    </row>
    <row r="29" spans="1:19" ht="13.9" customHeight="1" x14ac:dyDescent="0.2">
      <c r="B29" s="194"/>
      <c r="C29" s="195"/>
      <c r="D29" s="195"/>
      <c r="E29" s="195"/>
      <c r="F29" s="195"/>
      <c r="G29" s="195"/>
      <c r="H29" s="195"/>
      <c r="I29" s="196"/>
      <c r="J29" s="189"/>
      <c r="K29" s="190"/>
      <c r="L29" s="136"/>
      <c r="M29" s="137"/>
      <c r="N29" s="137"/>
      <c r="O29" s="137"/>
      <c r="P29" s="137"/>
      <c r="Q29" s="137"/>
      <c r="R29" s="138"/>
    </row>
    <row r="30" spans="1:19" ht="15.75" customHeight="1" thickBot="1" x14ac:dyDescent="0.25">
      <c r="B30" s="153" t="s">
        <v>99</v>
      </c>
      <c r="C30" s="154"/>
      <c r="D30" s="154"/>
      <c r="E30" s="154"/>
      <c r="F30" s="154"/>
      <c r="G30" s="154"/>
      <c r="H30" s="154"/>
      <c r="I30" s="154"/>
      <c r="J30" s="154"/>
      <c r="K30" s="154"/>
      <c r="L30" s="154"/>
      <c r="M30" s="154"/>
      <c r="N30" s="154"/>
      <c r="O30" s="154"/>
      <c r="P30" s="154"/>
      <c r="Q30" s="154"/>
      <c r="R30" s="155"/>
    </row>
    <row r="31" spans="1:19" ht="5.65" customHeight="1" thickBot="1" x14ac:dyDescent="0.25"/>
    <row r="32" spans="1:19" ht="21.6" customHeight="1" x14ac:dyDescent="0.2">
      <c r="B32" s="203" t="s">
        <v>107</v>
      </c>
      <c r="C32" s="204"/>
      <c r="D32" s="204"/>
      <c r="E32" s="204"/>
      <c r="F32" s="204"/>
      <c r="G32" s="204"/>
      <c r="H32" s="204"/>
      <c r="I32" s="204"/>
      <c r="J32" s="204"/>
      <c r="K32" s="205"/>
      <c r="L32" s="126" t="str">
        <f>J16</f>
        <v>Metres</v>
      </c>
      <c r="M32" s="127"/>
      <c r="N32" s="128"/>
      <c r="O32" s="126" t="s">
        <v>29</v>
      </c>
      <c r="P32" s="127"/>
      <c r="Q32" s="127"/>
      <c r="R32" s="156"/>
    </row>
    <row r="33" spans="1:20" ht="19.149999999999999" customHeight="1" x14ac:dyDescent="0.2">
      <c r="B33" s="129" t="s">
        <v>108</v>
      </c>
      <c r="C33" s="130"/>
      <c r="D33" s="130"/>
      <c r="E33" s="130"/>
      <c r="F33" s="130"/>
      <c r="G33" s="130"/>
      <c r="H33" s="130"/>
      <c r="I33" s="130"/>
      <c r="J33" s="130"/>
      <c r="K33" s="131"/>
      <c r="L33" s="182" t="s">
        <v>126</v>
      </c>
      <c r="M33" s="183"/>
      <c r="N33" s="184"/>
      <c r="O33" s="209"/>
      <c r="P33" s="210"/>
      <c r="Q33" s="210"/>
      <c r="R33" s="211"/>
    </row>
    <row r="34" spans="1:20" ht="19.149999999999999" customHeight="1" x14ac:dyDescent="0.2">
      <c r="B34" s="129" t="s">
        <v>116</v>
      </c>
      <c r="C34" s="130"/>
      <c r="D34" s="130"/>
      <c r="E34" s="130"/>
      <c r="F34" s="130"/>
      <c r="G34" s="130"/>
      <c r="H34" s="130"/>
      <c r="I34" s="130"/>
      <c r="J34" s="130"/>
      <c r="K34" s="131"/>
      <c r="L34" s="197" t="str">
        <f>IF(OR(L33="Dredged Channel",L33="Singapore Strait",L33="Eastern Banks"),"0",(LOOKUP(L33,Data!A15:A20,Data!C15:C20)))</f>
        <v>0</v>
      </c>
      <c r="M34" s="198"/>
      <c r="N34" s="199"/>
      <c r="O34" s="209"/>
      <c r="P34" s="210"/>
      <c r="Q34" s="210"/>
      <c r="R34" s="211"/>
    </row>
    <row r="35" spans="1:20" ht="19.149999999999999" customHeight="1" x14ac:dyDescent="0.2">
      <c r="B35" s="200" t="s">
        <v>117</v>
      </c>
      <c r="C35" s="201"/>
      <c r="D35" s="201"/>
      <c r="E35" s="201"/>
      <c r="F35" s="201"/>
      <c r="G35" s="201"/>
      <c r="H35" s="201"/>
      <c r="I35" s="201"/>
      <c r="J35" s="201"/>
      <c r="K35" s="202"/>
      <c r="L35" s="197">
        <f>J21-L34</f>
        <v>24.5</v>
      </c>
      <c r="M35" s="198"/>
      <c r="N35" s="199"/>
      <c r="O35" s="206"/>
      <c r="P35" s="207"/>
      <c r="Q35" s="207"/>
      <c r="R35" s="208"/>
    </row>
    <row r="36" spans="1:20" ht="19.149999999999999" customHeight="1" x14ac:dyDescent="0.2">
      <c r="B36" s="200" t="s">
        <v>118</v>
      </c>
      <c r="C36" s="201"/>
      <c r="D36" s="201"/>
      <c r="E36" s="201"/>
      <c r="F36" s="201"/>
      <c r="G36" s="201"/>
      <c r="H36" s="201"/>
      <c r="I36" s="201"/>
      <c r="J36" s="201"/>
      <c r="K36" s="202"/>
      <c r="L36" s="197">
        <f>L35-J28</f>
        <v>2.3336000000000006</v>
      </c>
      <c r="M36" s="198"/>
      <c r="N36" s="199"/>
      <c r="O36" s="160"/>
      <c r="P36" s="161"/>
      <c r="Q36" s="161"/>
      <c r="R36" s="162"/>
    </row>
    <row r="37" spans="1:20" ht="19.149999999999999" customHeight="1" x14ac:dyDescent="0.2">
      <c r="B37" s="200" t="s">
        <v>134</v>
      </c>
      <c r="C37" s="201"/>
      <c r="D37" s="201"/>
      <c r="E37" s="201"/>
      <c r="F37" s="201"/>
      <c r="G37" s="201"/>
      <c r="H37" s="201"/>
      <c r="I37" s="201"/>
      <c r="J37" s="201"/>
      <c r="K37" s="202"/>
      <c r="L37" s="182"/>
      <c r="M37" s="183"/>
      <c r="N37" s="184"/>
      <c r="O37" s="160"/>
      <c r="P37" s="161"/>
      <c r="Q37" s="161"/>
      <c r="R37" s="162"/>
    </row>
    <row r="38" spans="1:20" ht="34.15" customHeight="1" x14ac:dyDescent="0.2">
      <c r="B38" s="235" t="str">
        <f>IF(OR(O38="Singapore Strait",O38="Eastern Banks"),"Dynamic UKC required for minimum Static UKC of 3.5 m for Singapore Strait and 4.0 m for Eastern Banks","Dynamic UKC required as applicable in drop down menu")</f>
        <v>Dynamic UKC required for minimum Static UKC of 3.5 m for Singapore Strait and 4.0 m for Eastern Banks</v>
      </c>
      <c r="C38" s="215"/>
      <c r="D38" s="215"/>
      <c r="E38" s="215"/>
      <c r="F38" s="215"/>
      <c r="G38" s="215"/>
      <c r="H38" s="215"/>
      <c r="I38" s="215"/>
      <c r="J38" s="215"/>
      <c r="K38" s="236"/>
      <c r="L38" s="197">
        <f>Data!A39</f>
        <v>2.3335999999999997</v>
      </c>
      <c r="M38" s="198"/>
      <c r="N38" s="199"/>
      <c r="O38" s="239" t="s">
        <v>126</v>
      </c>
      <c r="P38" s="240"/>
      <c r="Q38" s="240"/>
      <c r="R38" s="241"/>
    </row>
    <row r="39" spans="1:20" ht="22.15" customHeight="1" x14ac:dyDescent="0.2">
      <c r="B39" s="200" t="s">
        <v>121</v>
      </c>
      <c r="C39" s="201"/>
      <c r="D39" s="201"/>
      <c r="E39" s="201"/>
      <c r="F39" s="201"/>
      <c r="G39" s="201"/>
      <c r="H39" s="201"/>
      <c r="I39" s="201"/>
      <c r="J39" s="201"/>
      <c r="K39" s="202"/>
      <c r="L39" s="212" t="str">
        <f>IF(L36&gt;=L38,"Compliant","Non Compliant")</f>
        <v>Compliant</v>
      </c>
      <c r="M39" s="213"/>
      <c r="N39" s="214"/>
      <c r="O39" s="250"/>
      <c r="P39" s="251"/>
      <c r="Q39" s="251"/>
      <c r="R39" s="252"/>
    </row>
    <row r="40" spans="1:20" ht="41.25" customHeight="1" x14ac:dyDescent="0.2">
      <c r="A40" s="44"/>
      <c r="B40" s="235" t="str">
        <f>IF(L39="Non Compliant","Depth has been checked with agent, Port Authorities, etc","")</f>
        <v/>
      </c>
      <c r="C40" s="215"/>
      <c r="D40" s="215"/>
      <c r="E40" s="80" t="s">
        <v>139</v>
      </c>
      <c r="F40" s="215" t="str">
        <f>IF(L39="Non Compliant", "Vessel of similar size has transited through same route","")</f>
        <v/>
      </c>
      <c r="G40" s="215"/>
      <c r="H40" s="80" t="s">
        <v>139</v>
      </c>
      <c r="I40" s="215" t="str">
        <f>IF(L39="Non Compliant","JHA prepared, office approval obtained","")</f>
        <v/>
      </c>
      <c r="J40" s="215"/>
      <c r="K40" s="80" t="s">
        <v>139</v>
      </c>
      <c r="L40" s="257" t="str">
        <f>IF(L39="Non Compliant",(IF(Data!G27=3,"Vessel may proceed with the transit","Vessel is not allowed to prceeed with the transit")),"")</f>
        <v/>
      </c>
      <c r="M40" s="258"/>
      <c r="N40" s="259"/>
      <c r="O40" s="260"/>
      <c r="P40" s="261"/>
      <c r="Q40" s="261"/>
      <c r="R40" s="262"/>
    </row>
    <row r="41" spans="1:20" ht="19.149999999999999" customHeight="1" x14ac:dyDescent="0.2">
      <c r="B41" s="200" t="s">
        <v>119</v>
      </c>
      <c r="C41" s="201"/>
      <c r="D41" s="201"/>
      <c r="E41" s="201"/>
      <c r="F41" s="201"/>
      <c r="G41" s="201"/>
      <c r="H41" s="201"/>
      <c r="I41" s="201"/>
      <c r="J41" s="201"/>
      <c r="K41" s="202"/>
      <c r="L41" s="197">
        <f>J21-J28</f>
        <v>2.3336000000000006</v>
      </c>
      <c r="M41" s="198"/>
      <c r="N41" s="199"/>
      <c r="O41" s="206"/>
      <c r="P41" s="207"/>
      <c r="Q41" s="207"/>
      <c r="R41" s="208"/>
    </row>
    <row r="42" spans="1:20" ht="18.399999999999999" customHeight="1" thickBot="1" x14ac:dyDescent="0.25">
      <c r="B42" s="247" t="s">
        <v>120</v>
      </c>
      <c r="C42" s="248"/>
      <c r="D42" s="248"/>
      <c r="E42" s="248"/>
      <c r="F42" s="248"/>
      <c r="G42" s="248"/>
      <c r="H42" s="248"/>
      <c r="I42" s="248"/>
      <c r="J42" s="248"/>
      <c r="K42" s="249"/>
      <c r="L42" s="166" t="str">
        <f>IF(L41&gt;=L38,"Compliant","Non Compliant")</f>
        <v>Compliant</v>
      </c>
      <c r="M42" s="166"/>
      <c r="N42" s="166"/>
      <c r="O42" s="77"/>
      <c r="P42" s="78"/>
      <c r="Q42" s="78"/>
      <c r="R42" s="79"/>
    </row>
    <row r="43" spans="1:20" ht="22.15" customHeight="1" thickBot="1" x14ac:dyDescent="0.25">
      <c r="B43" s="163" t="s">
        <v>137</v>
      </c>
      <c r="C43" s="164"/>
      <c r="D43" s="164"/>
      <c r="E43" s="164"/>
      <c r="F43" s="164"/>
      <c r="G43" s="164"/>
      <c r="H43" s="164"/>
      <c r="I43" s="164"/>
      <c r="J43" s="164"/>
      <c r="K43" s="165"/>
      <c r="L43" s="174" t="str">
        <f>IF(L41&gt;=L37,"Compliant","Non Compliant")</f>
        <v>Compliant</v>
      </c>
      <c r="M43" s="175"/>
      <c r="N43" s="176"/>
      <c r="O43" s="177"/>
      <c r="P43" s="178"/>
      <c r="Q43" s="178"/>
      <c r="R43" s="179"/>
    </row>
    <row r="44" spans="1:20" ht="21.6" customHeight="1" x14ac:dyDescent="0.2"/>
    <row r="45" spans="1:20" ht="8.25" customHeight="1" x14ac:dyDescent="0.2"/>
    <row r="46" spans="1:20" ht="18" customHeight="1" x14ac:dyDescent="0.2">
      <c r="B46" s="36" t="s">
        <v>130</v>
      </c>
      <c r="C46" s="62"/>
      <c r="D46" s="62"/>
      <c r="E46" s="62"/>
      <c r="F46" s="62" t="str">
        <f>IF(Data!D4="Confined","Confined","Open")</f>
        <v>Open</v>
      </c>
      <c r="G46" s="62"/>
      <c r="H46" s="62" t="s">
        <v>95</v>
      </c>
      <c r="I46" s="62"/>
      <c r="J46" s="62"/>
      <c r="K46" s="62"/>
      <c r="L46" s="62"/>
      <c r="M46" s="62"/>
      <c r="N46" s="62"/>
      <c r="O46" s="62"/>
      <c r="P46" s="62"/>
      <c r="Q46" s="62"/>
      <c r="R46" s="63"/>
    </row>
    <row r="47" spans="1:20" ht="18" customHeight="1" x14ac:dyDescent="0.2">
      <c r="B47" s="64"/>
      <c r="C47" s="65"/>
      <c r="D47" s="244" t="s">
        <v>21</v>
      </c>
      <c r="E47" s="245"/>
      <c r="F47" s="245"/>
      <c r="G47" s="245"/>
      <c r="H47" s="245"/>
      <c r="I47" s="245"/>
      <c r="J47" s="245"/>
      <c r="K47" s="245"/>
      <c r="L47" s="245"/>
      <c r="M47" s="245"/>
      <c r="N47" s="245"/>
      <c r="O47" s="245"/>
      <c r="P47" s="245"/>
      <c r="Q47" s="245"/>
      <c r="R47" s="246"/>
    </row>
    <row r="48" spans="1:20" ht="25.35" customHeight="1" x14ac:dyDescent="0.2">
      <c r="B48" s="242" t="s">
        <v>20</v>
      </c>
      <c r="C48" s="243"/>
      <c r="D48" s="16">
        <v>9</v>
      </c>
      <c r="E48" s="16">
        <v>10</v>
      </c>
      <c r="F48" s="16">
        <v>11</v>
      </c>
      <c r="G48" s="16">
        <v>12</v>
      </c>
      <c r="H48" s="16">
        <v>13</v>
      </c>
      <c r="I48" s="16">
        <v>14</v>
      </c>
      <c r="J48" s="16">
        <v>15</v>
      </c>
      <c r="K48" s="16">
        <v>16</v>
      </c>
      <c r="L48" s="16">
        <v>17</v>
      </c>
      <c r="M48" s="16">
        <v>18</v>
      </c>
      <c r="N48" s="16">
        <v>19</v>
      </c>
      <c r="O48" s="16">
        <v>20</v>
      </c>
      <c r="P48" s="16">
        <v>21</v>
      </c>
      <c r="Q48" s="16">
        <v>22</v>
      </c>
      <c r="R48" s="16">
        <v>23</v>
      </c>
      <c r="T48" s="35" t="s">
        <v>27</v>
      </c>
    </row>
    <row r="49" spans="2:20" ht="25.35" customHeight="1" x14ac:dyDescent="0.2">
      <c r="B49" s="220" t="s">
        <v>22</v>
      </c>
      <c r="C49" s="131"/>
      <c r="D49" s="17">
        <v>0.755</v>
      </c>
      <c r="E49" s="17">
        <v>0.76100000000000001</v>
      </c>
      <c r="F49" s="17">
        <v>0.76600000000000001</v>
      </c>
      <c r="G49" s="17">
        <v>0.77100000000000002</v>
      </c>
      <c r="H49" s="17">
        <v>0.77600000000000002</v>
      </c>
      <c r="I49" s="17">
        <v>0.78</v>
      </c>
      <c r="J49" s="17">
        <v>0.78500000000000003</v>
      </c>
      <c r="K49" s="17">
        <v>0.78900000000000003</v>
      </c>
      <c r="L49" s="17">
        <v>0.79300000000000004</v>
      </c>
      <c r="M49" s="17">
        <v>0.79700000000000004</v>
      </c>
      <c r="N49" s="17">
        <v>0.80200000000000005</v>
      </c>
      <c r="O49" s="17">
        <v>0.80600000000000005</v>
      </c>
      <c r="P49" s="17">
        <v>0.81</v>
      </c>
      <c r="Q49" s="17">
        <v>0.81100000000000005</v>
      </c>
      <c r="R49" s="17">
        <v>0.81399999999999995</v>
      </c>
      <c r="T49" s="35" t="s">
        <v>27</v>
      </c>
    </row>
    <row r="50" spans="2:20" ht="25.35" customHeight="1" x14ac:dyDescent="0.2">
      <c r="B50" s="233" t="s">
        <v>23</v>
      </c>
      <c r="C50" s="66">
        <v>4</v>
      </c>
      <c r="D50" s="67">
        <f>IF(F46="Confined",SUM($C50^2*D$49/50),SUM($C50^2*D$49/100))</f>
        <v>0.1208</v>
      </c>
      <c r="E50" s="67">
        <f>IF(F46="Confined",SUM($C50^2*E$49/50),SUM($C50^2*E$49/100))</f>
        <v>0.12176000000000001</v>
      </c>
      <c r="F50" s="67">
        <f>IF(F46="Confined",SUM($C50^2*F$49/50),SUM($C50^2*F$49/100))</f>
        <v>0.12256</v>
      </c>
      <c r="G50" s="67">
        <f>IF(F46="Confined",SUM($C50^2*G$49/50),SUM($C50^2*G$49/100))</f>
        <v>0.12336</v>
      </c>
      <c r="H50" s="67">
        <f>IF(F46="Confined",SUM($C50^2*H$49/50),SUM($C50^2*H$49/100))</f>
        <v>0.12416000000000001</v>
      </c>
      <c r="I50" s="67">
        <f>IF(F46="Confined",SUM($C50^2*I$49/50),SUM($C50^2*I$49/100))</f>
        <v>0.12480000000000001</v>
      </c>
      <c r="J50" s="67">
        <f>IF(F46="Confined",SUM($C50^2*J$49/50),SUM($C50^2*J$49/100))</f>
        <v>0.12560000000000002</v>
      </c>
      <c r="K50" s="67">
        <f>IF(F46="Confined",SUM($C50^2*K$49/50),SUM($C50^2*K$49/100))</f>
        <v>0.12624000000000002</v>
      </c>
      <c r="L50" s="67">
        <f>IF(F46="Confined",SUM($C50^2*L$49/50),SUM($C50^2*L$49/100))</f>
        <v>0.12687999999999999</v>
      </c>
      <c r="M50" s="67">
        <f>IF(F46="Confined",SUM($C50^2*M$49/50),SUM($C50^2*M$49/100))</f>
        <v>0.12751999999999999</v>
      </c>
      <c r="N50" s="67">
        <f>IF(F46="Confined",SUM($C50^2*N$49/50),SUM($C50^2*N$49/100))</f>
        <v>0.12832000000000002</v>
      </c>
      <c r="O50" s="67">
        <f>IF(F46="Confined",SUM($C50^2*O$49/50),SUM($C50^2*O$49/100))</f>
        <v>0.12896000000000002</v>
      </c>
      <c r="P50" s="67">
        <f>IF(F46="Confined",SUM($C50^2*P$49/50),SUM($C50^2*P$49/100))</f>
        <v>0.12960000000000002</v>
      </c>
      <c r="Q50" s="67">
        <f>IF(F46="Confined",SUM($C50^2*Q$49/50),SUM($C50^2*Q$49/100))</f>
        <v>0.12976000000000001</v>
      </c>
      <c r="R50" s="67">
        <f>IF(F46="Confined",SUM($C50^2*R$49/50),SUM($C50^2*R$49/100))</f>
        <v>0.13023999999999999</v>
      </c>
    </row>
    <row r="51" spans="2:20" ht="25.35" customHeight="1" x14ac:dyDescent="0.2">
      <c r="B51" s="234"/>
      <c r="C51" s="66">
        <v>6</v>
      </c>
      <c r="D51" s="67">
        <f>IF(F46="Confined",SUM($C51^2*D$49/50),SUM($C51^2*D$49/100))</f>
        <v>0.27179999999999999</v>
      </c>
      <c r="E51" s="67">
        <f>IF(F46="Confined",SUM($C51^2*E$49/50),SUM($C51^2*E$49/100))</f>
        <v>0.27395999999999998</v>
      </c>
      <c r="F51" s="67">
        <f>IF(F46="Confined",SUM($C51^2*F$49/50),SUM($C51^2*F$49/100))</f>
        <v>0.27576000000000001</v>
      </c>
      <c r="G51" s="67">
        <f>IF(F46="Confined",SUM($C51^2*G$49/50),SUM($C51^2*G$49/100))</f>
        <v>0.27756000000000003</v>
      </c>
      <c r="H51" s="67">
        <f>IF(F46="Confined",SUM($C51^2*H$49/50),SUM($C51^2*H$49/100))</f>
        <v>0.27936</v>
      </c>
      <c r="I51" s="67">
        <f>IF(F46="Confined",SUM($C51^2*I$49/50),SUM($C51^2*I$49/100))</f>
        <v>0.28079999999999999</v>
      </c>
      <c r="J51" s="67">
        <f>IF(F46="Confined",SUM($C51^2*J$49/50),SUM($C51^2*J$49/100))</f>
        <v>0.28260000000000002</v>
      </c>
      <c r="K51" s="67">
        <f>IF(F46="Confined",SUM($C51^2*K$49/50),SUM($C51^2*K$49/100))</f>
        <v>0.28404000000000001</v>
      </c>
      <c r="L51" s="67">
        <f>IF(F46="Confined",SUM($C51^2*L$49/50),SUM($C51^2*L$49/100))</f>
        <v>0.28548000000000001</v>
      </c>
      <c r="M51" s="67">
        <f>IF(F46="Confined",SUM($C51^2*M$49/50),SUM($C51^2*M$49/100))</f>
        <v>0.28692000000000001</v>
      </c>
      <c r="N51" s="67">
        <f>IF(F46="Confined",SUM($C51^2*N$49/50),SUM($C51^2*N$49/100))</f>
        <v>0.28871999999999998</v>
      </c>
      <c r="O51" s="67">
        <f>IF(F46="Confined",SUM($C51^2*O$49/50),SUM($C51^2*O$49/100))</f>
        <v>0.29016000000000003</v>
      </c>
      <c r="P51" s="67">
        <f>IF(F46="Confined",SUM($C51^2*P$49/50),SUM($C51^2*P$49/100))</f>
        <v>0.29160000000000003</v>
      </c>
      <c r="Q51" s="67">
        <f>IF(F46="Confined",SUM($C51^2*Q$49/50),SUM($C51^2*Q$49/100))</f>
        <v>0.29196</v>
      </c>
      <c r="R51" s="67">
        <f>IF(F46="Confined",SUM($C51^2*R$49/50),SUM($C51^2*R$49/100))</f>
        <v>0.29303999999999997</v>
      </c>
    </row>
    <row r="52" spans="2:20" ht="25.35" customHeight="1" x14ac:dyDescent="0.2">
      <c r="B52" s="234"/>
      <c r="C52" s="66">
        <v>8</v>
      </c>
      <c r="D52" s="67">
        <f>IF(F46="Confined",SUM($C52^2*D$49/50),SUM($C52^2*D$49/100))</f>
        <v>0.48320000000000002</v>
      </c>
      <c r="E52" s="67">
        <f>IF(F46="Confined",SUM($C52^2*E$49/50),SUM($C52^2*E$49/100))</f>
        <v>0.48704000000000003</v>
      </c>
      <c r="F52" s="67">
        <f>IF(F46="Confined",SUM($C52^2*F$49/50),SUM($C52^2*F$49/100))</f>
        <v>0.49024000000000001</v>
      </c>
      <c r="G52" s="67">
        <f>IF(F46="Confined",SUM($C52^2*G$49/50),SUM($C52^2*G$49/100))</f>
        <v>0.49343999999999999</v>
      </c>
      <c r="H52" s="67">
        <f>IF(F46="Confined",SUM($C52^2*H$49/50),SUM($C52^2*H$49/100))</f>
        <v>0.49664000000000003</v>
      </c>
      <c r="I52" s="67">
        <f>IF(F46="Confined",SUM($C52^2*I$49/50),SUM($C52^2*I$49/100))</f>
        <v>0.49920000000000003</v>
      </c>
      <c r="J52" s="67">
        <f>IF(F46="Confined",SUM($C52^2*J$49/50),SUM($C52^2*J$49/100))</f>
        <v>0.50240000000000007</v>
      </c>
      <c r="K52" s="67">
        <f>IF(F46="Confined",SUM($C52^2*K$49/50),SUM($C52^2*K$49/100))</f>
        <v>0.50496000000000008</v>
      </c>
      <c r="L52" s="67">
        <f>IF(F46="Confined",SUM($C52^2*L$49/50),SUM($C52^2*L$49/100))</f>
        <v>0.50751999999999997</v>
      </c>
      <c r="M52" s="67">
        <f>IF(F46="Confined",SUM($C52^2*M$49/50),SUM($C52^2*M$49/100))</f>
        <v>0.51007999999999998</v>
      </c>
      <c r="N52" s="67">
        <f>IF(F46="Confined",SUM($C52^2*N$49/50),SUM($C52^2*N$49/100))</f>
        <v>0.51328000000000007</v>
      </c>
      <c r="O52" s="67">
        <f>IF(F46="Confined",SUM($C52^2*O$49/50),SUM($C52^2*O$49/100))</f>
        <v>0.51584000000000008</v>
      </c>
      <c r="P52" s="67">
        <f>IF(F46="Confined",SUM($C52^2*P$49/50),SUM($C52^2*P$49/100))</f>
        <v>0.51840000000000008</v>
      </c>
      <c r="Q52" s="67">
        <f>IF(F46="Confined",SUM($C52^2*Q$49/50),SUM($C52^2*Q$49/100))</f>
        <v>0.51904000000000006</v>
      </c>
      <c r="R52" s="67">
        <f>IF(F46="Confined",SUM($C52^2*R$49/50),SUM($C52^2*R$49/100))</f>
        <v>0.52095999999999998</v>
      </c>
    </row>
    <row r="53" spans="2:20" ht="25.35" customHeight="1" x14ac:dyDescent="0.2">
      <c r="B53" s="234"/>
      <c r="C53" s="66">
        <v>9</v>
      </c>
      <c r="D53" s="67">
        <f>IF(F46="Confined",SUM($C53^2*D$49/50),SUM($C53^2*D$49/100))</f>
        <v>0.61155000000000004</v>
      </c>
      <c r="E53" s="67">
        <f>IF(F46="Confined",SUM($C53^2*E$49/50),SUM($C53^2*E$49/100))</f>
        <v>0.61641000000000001</v>
      </c>
      <c r="F53" s="67">
        <f>IF(F46="Confined",SUM($C53^2*F$49/50),SUM($C53^2*F$49/100))</f>
        <v>0.62046000000000001</v>
      </c>
      <c r="G53" s="67">
        <f>IF(F46="Confined",SUM($C53^2*G$49/50),SUM($C53^2*G$49/100))</f>
        <v>0.62451000000000001</v>
      </c>
      <c r="H53" s="67">
        <f>IF(F46="Confined",SUM($C53^2*H$49/50),SUM($C53^2*H$49/100))</f>
        <v>0.62856000000000001</v>
      </c>
      <c r="I53" s="67">
        <f>IF(F46="Confined",SUM($C53^2*I$49/50),SUM($C53^2*I$49/100))</f>
        <v>0.63180000000000003</v>
      </c>
      <c r="J53" s="67">
        <f>IF(F46="Confined",SUM($C53^2*J$49/50),SUM($C53^2*J$49/100))</f>
        <v>0.63585000000000003</v>
      </c>
      <c r="K53" s="67">
        <f>IF(F46="Confined",SUM($C53^2*K$49/50),SUM($C53^2*K$49/100))</f>
        <v>0.63909000000000005</v>
      </c>
      <c r="L53" s="67">
        <f>IF(F46="Confined",SUM($C53^2*L$49/50),SUM($C53^2*L$49/100))</f>
        <v>0.64233000000000007</v>
      </c>
      <c r="M53" s="67">
        <f>IF(F46="Confined",SUM($C53^2*M$49/50),SUM($C53^2*M$49/100))</f>
        <v>0.64556999999999998</v>
      </c>
      <c r="N53" s="67">
        <f>IF(F46="Confined",SUM($C53^2*N$49/50),SUM($C53^2*N$49/100))</f>
        <v>0.64962000000000009</v>
      </c>
      <c r="O53" s="67">
        <f>IF(F46="Confined",SUM($C53^2*O$49/50),SUM($C53^2*O$49/100))</f>
        <v>0.65286</v>
      </c>
      <c r="P53" s="67">
        <f>IF(F46="Confined",SUM($C53^2*P$49/50),SUM($C53^2*P$49/100))</f>
        <v>0.65610000000000002</v>
      </c>
      <c r="Q53" s="67">
        <f>IF(F46="Confined",SUM($C53^2*Q$49/50),SUM($C53^2*Q$49/100))</f>
        <v>0.65690999999999999</v>
      </c>
      <c r="R53" s="67">
        <f>IF(F46="Confined",SUM($C53^2*R$49/50),SUM($C53^2*R$49/100))</f>
        <v>0.65933999999999993</v>
      </c>
    </row>
    <row r="54" spans="2:20" ht="25.35" customHeight="1" x14ac:dyDescent="0.2">
      <c r="B54" s="234"/>
      <c r="C54" s="66">
        <v>10</v>
      </c>
      <c r="D54" s="67">
        <f>IF(F46="Confined",SUM($C54^2*D$49/50),SUM($C54^2*D$49/100))</f>
        <v>0.755</v>
      </c>
      <c r="E54" s="67">
        <f>IF(F46="Confined",SUM($C54^2*E$49/50),SUM($C54^2*E$49/100))</f>
        <v>0.7609999999999999</v>
      </c>
      <c r="F54" s="67">
        <f>IF(F46="Confined",SUM($C54^2*F$49/50),SUM($C54^2*F$49/100))</f>
        <v>0.7659999999999999</v>
      </c>
      <c r="G54" s="67">
        <f>IF(F46="Confined",SUM($C54^2*G$49/50),SUM($C54^2*G$49/100))</f>
        <v>0.77100000000000013</v>
      </c>
      <c r="H54" s="67">
        <f>IF(F46="Confined",SUM($C54^2*H$49/50),SUM($C54^2*H$49/100))</f>
        <v>0.77600000000000013</v>
      </c>
      <c r="I54" s="67">
        <f>IF(F46="Confined",SUM($C54^2*I$49/50),SUM($C54^2*I$49/100))</f>
        <v>0.78</v>
      </c>
      <c r="J54" s="67">
        <f>IF(F46="Confined",SUM($C54^2*J$49/50),SUM($C54^2*J$49/100))</f>
        <v>0.78500000000000003</v>
      </c>
      <c r="K54" s="67">
        <f>IF(F46="Confined",SUM($C54^2*K$49/50),SUM($C54^2*K$49/100))</f>
        <v>0.78900000000000003</v>
      </c>
      <c r="L54" s="67">
        <f>IF(F46="Confined",SUM($C54^2*L$49/50),SUM($C54^2*L$49/100))</f>
        <v>0.79299999999999993</v>
      </c>
      <c r="M54" s="67">
        <f>IF(F46="Confined",SUM($C54^2*M$49/50),SUM($C54^2*M$49/100))</f>
        <v>0.79700000000000004</v>
      </c>
      <c r="N54" s="67">
        <f>IF(F46="Confined",SUM($C54^2*N$49/50),SUM($C54^2*N$49/100))</f>
        <v>0.80200000000000005</v>
      </c>
      <c r="O54" s="67">
        <f>IF(F46="Confined",SUM($C54^2*O$49/50),SUM($C54^2*O$49/100))</f>
        <v>0.80600000000000005</v>
      </c>
      <c r="P54" s="67">
        <f>IF(F46="Confined",SUM($C54^2*P$49/50),SUM($C54^2*P$49/100))</f>
        <v>0.81</v>
      </c>
      <c r="Q54" s="67">
        <f>IF(F46="Confined",SUM($C54^2*Q$49/50),SUM($C54^2*Q$49/100))</f>
        <v>0.81100000000000005</v>
      </c>
      <c r="R54" s="67">
        <f>IF(F46="Confined",SUM($C54^2*R$49/50),SUM($C54^2*R$49/100))</f>
        <v>0.81399999999999995</v>
      </c>
    </row>
    <row r="55" spans="2:20" ht="25.35" customHeight="1" x14ac:dyDescent="0.2">
      <c r="B55" s="234"/>
      <c r="C55" s="66">
        <v>11</v>
      </c>
      <c r="D55" s="67">
        <f>IF(F46="Confined",SUM($C55^2*D$49/50),SUM($C55^2*D$49/100))</f>
        <v>0.91355000000000008</v>
      </c>
      <c r="E55" s="67">
        <f>IF(F46="Confined",SUM($C55^2*E$49/50),SUM($C55^2*E$49/100))</f>
        <v>0.92081000000000002</v>
      </c>
      <c r="F55" s="67">
        <f>IF(F46="Confined",SUM($C55^2*F$49/50),SUM($C55^2*F$49/100))</f>
        <v>0.92686000000000002</v>
      </c>
      <c r="G55" s="67">
        <f>IF(F46="Confined",SUM($C55^2*G$49/50),SUM($C55^2*G$49/100))</f>
        <v>0.93291000000000002</v>
      </c>
      <c r="H55" s="67">
        <f>IF(F46="Confined",SUM($C55^2*H$49/50),SUM($C55^2*H$49/100))</f>
        <v>0.93896000000000002</v>
      </c>
      <c r="I55" s="67">
        <f>IF(F46="Confined",SUM($C55^2*I$49/50),SUM($C55^2*I$49/100))</f>
        <v>0.94380000000000008</v>
      </c>
      <c r="J55" s="67">
        <f>IF(F46="Confined",SUM($C55^2*J$49/50),SUM($C55^2*J$49/100))</f>
        <v>0.94984999999999997</v>
      </c>
      <c r="K55" s="67">
        <f>IF(F46="Confined",SUM($C55^2*K$49/50),SUM($C55^2*K$49/100))</f>
        <v>0.95469000000000004</v>
      </c>
      <c r="L55" s="67">
        <f>IF(F46="Confined",SUM($C55^2*L$49/50),SUM($C55^2*L$49/100))</f>
        <v>0.95952999999999999</v>
      </c>
      <c r="M55" s="67">
        <f>IF(F46="Confined",SUM($C55^2*M$49/50),SUM($C55^2*M$49/100))</f>
        <v>0.96437000000000017</v>
      </c>
      <c r="N55" s="67">
        <f>IF(F46="Confined",SUM($C55^2*N$49/50),SUM($C55^2*N$49/100))</f>
        <v>0.97042000000000006</v>
      </c>
      <c r="O55" s="67">
        <f>IF(F46="Confined",SUM($C55^2*O$49/50),SUM($C55^2*O$49/100))</f>
        <v>0.97526000000000013</v>
      </c>
      <c r="P55" s="67">
        <f>IF(F46="Confined",SUM($C55^2*P$49/50),SUM($C55^2*P$49/100))</f>
        <v>0.98010000000000008</v>
      </c>
      <c r="Q55" s="67">
        <f>IF(F46="Confined",SUM($C55^2*Q$49/50),SUM($C55^2*Q$49/100))</f>
        <v>0.98131000000000002</v>
      </c>
      <c r="R55" s="67">
        <f>IF(F46="Confined",SUM($C55^2*R$49/50),SUM($C55^2*R$49/100))</f>
        <v>0.98494000000000004</v>
      </c>
    </row>
    <row r="56" spans="2:20" ht="25.35" customHeight="1" x14ac:dyDescent="0.2">
      <c r="B56" s="234"/>
      <c r="C56" s="66">
        <v>12</v>
      </c>
      <c r="D56" s="67">
        <f>IF(F46="Confined",SUM($C56^2*D$49/50),SUM($C56^2*D$49/100))</f>
        <v>1.0871999999999999</v>
      </c>
      <c r="E56" s="67">
        <f>IF(F46="Confined",SUM($C56^2*E$49/50),SUM($C56^2*E$49/100))</f>
        <v>1.0958399999999999</v>
      </c>
      <c r="F56" s="67">
        <f>IF(F46="Confined",SUM($C56^2*F$49/50),SUM($C56^2*F$49/100))</f>
        <v>1.10304</v>
      </c>
      <c r="G56" s="67">
        <f>IF(F46="Confined",SUM($C56^2*G$49/50),SUM($C56^2*G$49/100))</f>
        <v>1.1102400000000001</v>
      </c>
      <c r="H56" s="67">
        <f>IF(F46="Confined",SUM($C56^2*H$49/50),SUM($C56^2*H$49/100))</f>
        <v>1.11744</v>
      </c>
      <c r="I56" s="67">
        <f>IF(F46="Confined",SUM($C56^2*I$49/50),SUM($C56^2*I$49/100))</f>
        <v>1.1232</v>
      </c>
      <c r="J56" s="67">
        <f>IF(F46="Confined",SUM($C56^2*J$49/50),SUM($C56^2*J$49/100))</f>
        <v>1.1304000000000001</v>
      </c>
      <c r="K56" s="67">
        <f>IF(F46="Confined",SUM($C56^2*K$49/50),SUM($C56^2*K$49/100))</f>
        <v>1.1361600000000001</v>
      </c>
      <c r="L56" s="67">
        <f>IF(F46="Confined",SUM($C56^2*L$49/50),SUM($C56^2*L$49/100))</f>
        <v>1.14192</v>
      </c>
      <c r="M56" s="67">
        <f>IF(F46="Confined",SUM($C56^2*M$49/50),SUM($C56^2*M$49/100))</f>
        <v>1.14768</v>
      </c>
      <c r="N56" s="67">
        <f>IF(F46="Confined",SUM($C56^2*N$49/50),SUM($C56^2*N$49/100))</f>
        <v>1.1548799999999999</v>
      </c>
      <c r="O56" s="67">
        <f>IF(F46="Confined",SUM($C56^2*O$49/50),SUM($C56^2*O$49/100))</f>
        <v>1.1606400000000001</v>
      </c>
      <c r="P56" s="67">
        <f>IF(F46="Confined",SUM($C56^2*P$49/50),SUM($C56^2*P$49/100))</f>
        <v>1.1664000000000001</v>
      </c>
      <c r="Q56" s="67">
        <f>IF(F46="Confined",SUM($C56^2*Q$49/50),SUM($C56^2*Q$49/100))</f>
        <v>1.16784</v>
      </c>
      <c r="R56" s="67">
        <f>IF(F46="Confined",SUM($C56^2*R$49/50),SUM($C56^2*R$49/100))</f>
        <v>1.1721599999999999</v>
      </c>
    </row>
    <row r="57" spans="2:20" ht="25.35" customHeight="1" x14ac:dyDescent="0.2">
      <c r="B57" s="234"/>
      <c r="C57" s="66">
        <v>13</v>
      </c>
      <c r="D57" s="67">
        <f>IF(F46="Confined",SUM($C57^2*D$49/50),SUM($C57^2*D$49/100))</f>
        <v>1.2759499999999999</v>
      </c>
      <c r="E57" s="67">
        <f>IF(F46="Confined",SUM($C57^2*E$49/50),SUM($C57^2*E$49/100))</f>
        <v>1.2860900000000002</v>
      </c>
      <c r="F57" s="67">
        <f>IF(F46="Confined",SUM($C57^2*F$49/50),SUM($C57^2*F$49/100))</f>
        <v>1.29454</v>
      </c>
      <c r="G57" s="67">
        <f>IF(F46="Confined",SUM($C57^2*G$49/50),SUM($C57^2*G$49/100))</f>
        <v>1.3029900000000001</v>
      </c>
      <c r="H57" s="67">
        <f>IF(F46="Confined",SUM($C57^2*H$49/50),SUM($C57^2*H$49/100))</f>
        <v>1.3114400000000002</v>
      </c>
      <c r="I57" s="67">
        <f>IF(F46="Confined",SUM($C57^2*I$49/50),SUM($C57^2*I$49/100))</f>
        <v>1.3182</v>
      </c>
      <c r="J57" s="67">
        <f>IF(F46="Confined",SUM($C57^2*J$49/50),SUM($C57^2*J$49/100))</f>
        <v>1.3266499999999999</v>
      </c>
      <c r="K57" s="67">
        <f>IF(F46="Confined",SUM($C57^2*K$49/50),SUM($C57^2*K$49/100))</f>
        <v>1.33341</v>
      </c>
      <c r="L57" s="67">
        <f>IF(F46="Confined",SUM($C57^2*L$49/50),SUM($C57^2*L$49/100))</f>
        <v>1.3401699999999999</v>
      </c>
      <c r="M57" s="67">
        <f>IF(F46="Confined",SUM($C57^2*M$49/50),SUM($C57^2*M$49/100))</f>
        <v>1.3469300000000002</v>
      </c>
      <c r="N57" s="67">
        <f>IF(F46="Confined",SUM($C57^2*N$49/50),SUM($C57^2*N$49/100))</f>
        <v>1.35538</v>
      </c>
      <c r="O57" s="67">
        <f>IF(F46="Confined",SUM($C57^2*O$49/50),SUM($C57^2*O$49/100))</f>
        <v>1.3621399999999999</v>
      </c>
      <c r="P57" s="67">
        <f>IF(F46="Confined",SUM($C57^2*P$49/50),SUM($C57^2*P$49/100))</f>
        <v>1.3689000000000002</v>
      </c>
      <c r="Q57" s="67">
        <f>IF(F46="Confined",SUM($C57^2*Q$49/50),SUM($C57^2*Q$49/100))</f>
        <v>1.37059</v>
      </c>
      <c r="R57" s="67">
        <f>IF(F46="Confined",SUM($C57^2*R$49/50),SUM($C57^2*R$49/100))</f>
        <v>1.3756600000000001</v>
      </c>
    </row>
    <row r="58" spans="2:20" ht="25.35" customHeight="1" x14ac:dyDescent="0.2">
      <c r="B58" s="234"/>
      <c r="C58" s="66">
        <v>14</v>
      </c>
      <c r="D58" s="67">
        <f>IF(F46="Confined",SUM($C58^2*D$49/50),SUM($C58^2*D$49/100))</f>
        <v>1.4798</v>
      </c>
      <c r="E58" s="67">
        <f>IF(F46="Confined",SUM($C58^2*E$49/50),SUM($C58^2*E$49/100))</f>
        <v>1.49156</v>
      </c>
      <c r="F58" s="67">
        <f>IF(F46="Confined",SUM($C58^2*F$49/50),SUM($C58^2*F$49/100))</f>
        <v>1.50136</v>
      </c>
      <c r="G58" s="67">
        <f>IF(F46="Confined",SUM($C58^2*G$49/50),SUM($C58^2*G$49/100))</f>
        <v>1.5111600000000001</v>
      </c>
      <c r="H58" s="67">
        <f>IF(F46="Confined",SUM($C58^2*H$49/50),SUM($C58^2*H$49/100))</f>
        <v>1.5209600000000001</v>
      </c>
      <c r="I58" s="67">
        <f>IF(F46="Confined",SUM($C58^2*I$49/50),SUM($C58^2*I$49/100))</f>
        <v>1.5287999999999999</v>
      </c>
      <c r="J58" s="67">
        <f>IF(F46="Confined",SUM($C58^2*J$49/50),SUM($C58^2*J$49/100))</f>
        <v>1.5386000000000002</v>
      </c>
      <c r="K58" s="67">
        <f>IF(F46="Confined",SUM($C58^2*K$49/50),SUM($C58^2*K$49/100))</f>
        <v>1.54644</v>
      </c>
      <c r="L58" s="67">
        <f>IF(F46="Confined",SUM($C58^2*L$49/50),SUM($C58^2*L$49/100))</f>
        <v>1.5542799999999999</v>
      </c>
      <c r="M58" s="67">
        <f>IF(F46="Confined",SUM($C58^2*M$49/50),SUM($C58^2*M$49/100))</f>
        <v>1.5621200000000002</v>
      </c>
      <c r="N58" s="67">
        <f>IF(F46="Confined",SUM($C58^2*N$49/50),SUM($C58^2*N$49/100))</f>
        <v>1.57192</v>
      </c>
      <c r="O58" s="67">
        <f>IF(F46="Confined",SUM($C58^2*O$49/50),SUM($C58^2*O$49/100))</f>
        <v>1.5797600000000001</v>
      </c>
      <c r="P58" s="67">
        <f>IF(F46="Confined",SUM($C58^2*P$49/50),SUM($C58^2*P$49/100))</f>
        <v>1.5876000000000001</v>
      </c>
      <c r="Q58" s="67">
        <f>IF(F46="Confined",SUM($C58^2*Q$49/50),SUM($C58^2*Q$49/100))</f>
        <v>1.5895600000000001</v>
      </c>
      <c r="R58" s="67">
        <f>IF(F46="Confined",SUM($C58^2*R$49/50),SUM($C58^2*R$49/100))</f>
        <v>1.5954399999999997</v>
      </c>
    </row>
    <row r="59" spans="2:20" ht="28.5" customHeight="1" x14ac:dyDescent="0.2">
      <c r="B59" s="230" t="s">
        <v>104</v>
      </c>
      <c r="C59" s="231"/>
      <c r="D59" s="231"/>
      <c r="E59" s="231"/>
      <c r="F59" s="231"/>
      <c r="G59" s="231"/>
      <c r="H59" s="231"/>
      <c r="I59" s="231"/>
      <c r="J59" s="231"/>
      <c r="K59" s="231"/>
      <c r="L59" s="231"/>
      <c r="M59" s="231"/>
      <c r="N59" s="231"/>
      <c r="O59" s="231"/>
      <c r="P59" s="231"/>
      <c r="Q59" s="231"/>
      <c r="R59" s="232"/>
    </row>
    <row r="60" spans="2:20" ht="18" customHeight="1" x14ac:dyDescent="0.2">
      <c r="B60" s="218" t="s">
        <v>24</v>
      </c>
      <c r="C60" s="219"/>
      <c r="D60" s="219"/>
      <c r="E60" s="219"/>
      <c r="F60" s="219"/>
      <c r="G60" s="219"/>
      <c r="H60" s="219"/>
      <c r="I60" s="221" t="s">
        <v>96</v>
      </c>
      <c r="J60" s="222"/>
      <c r="K60" s="222"/>
      <c r="L60" s="222"/>
      <c r="M60" s="222"/>
      <c r="N60" s="222"/>
      <c r="O60" s="222"/>
      <c r="P60" s="222"/>
      <c r="Q60" s="222"/>
      <c r="R60" s="223"/>
    </row>
    <row r="61" spans="2:20" ht="18" customHeight="1" x14ac:dyDescent="0.2">
      <c r="B61" s="150" t="s">
        <v>25</v>
      </c>
      <c r="C61" s="151"/>
      <c r="D61" s="151"/>
      <c r="E61" s="151"/>
      <c r="F61" s="151"/>
      <c r="G61" s="151"/>
      <c r="H61" s="152"/>
      <c r="I61" s="224" t="s">
        <v>30</v>
      </c>
      <c r="J61" s="225"/>
      <c r="K61" s="225"/>
      <c r="L61" s="225"/>
      <c r="M61" s="225"/>
      <c r="N61" s="225"/>
      <c r="O61" s="225"/>
      <c r="P61" s="225"/>
      <c r="Q61" s="225"/>
      <c r="R61" s="226"/>
    </row>
    <row r="62" spans="2:20" ht="18" customHeight="1" x14ac:dyDescent="0.2">
      <c r="B62" s="68"/>
      <c r="C62" s="68"/>
      <c r="D62" s="68"/>
      <c r="E62" s="68"/>
      <c r="F62" s="68"/>
      <c r="G62" s="68"/>
      <c r="H62" s="68"/>
      <c r="I62" s="69"/>
      <c r="J62" s="69"/>
      <c r="K62" s="69"/>
      <c r="L62" s="69"/>
      <c r="M62" s="69"/>
      <c r="N62" s="69"/>
      <c r="O62" s="69"/>
      <c r="P62" s="69"/>
      <c r="Q62" s="69"/>
      <c r="R62" s="69"/>
    </row>
    <row r="63" spans="2:20" ht="18" customHeight="1" x14ac:dyDescent="0.2">
      <c r="B63" s="137"/>
      <c r="C63" s="137"/>
      <c r="D63" s="137"/>
      <c r="E63" s="137"/>
      <c r="F63" s="137"/>
      <c r="G63" s="137"/>
      <c r="H63" s="137"/>
      <c r="I63" s="137"/>
      <c r="J63" s="137"/>
      <c r="K63" s="137"/>
      <c r="L63" s="137"/>
      <c r="M63" s="137"/>
      <c r="N63" s="137"/>
      <c r="O63" s="137"/>
      <c r="P63" s="137"/>
      <c r="Q63" s="137"/>
      <c r="R63" s="137"/>
    </row>
    <row r="64" spans="2:20" ht="18" customHeight="1" x14ac:dyDescent="0.2">
      <c r="B64" s="227" t="s">
        <v>131</v>
      </c>
      <c r="C64" s="228"/>
      <c r="D64" s="228"/>
      <c r="E64" s="228"/>
      <c r="F64" s="228"/>
      <c r="G64" s="228"/>
      <c r="H64" s="228"/>
      <c r="I64" s="228"/>
      <c r="J64" s="228"/>
      <c r="K64" s="228"/>
      <c r="L64" s="228"/>
      <c r="M64" s="228"/>
      <c r="N64" s="228"/>
      <c r="O64" s="228"/>
      <c r="P64" s="228"/>
      <c r="Q64" s="228"/>
      <c r="R64" s="229"/>
    </row>
    <row r="65" spans="2:18" ht="18" customHeight="1" x14ac:dyDescent="0.2">
      <c r="B65" s="227" t="s">
        <v>31</v>
      </c>
      <c r="C65" s="228"/>
      <c r="D65" s="229"/>
      <c r="E65" s="227" t="s">
        <v>34</v>
      </c>
      <c r="F65" s="228"/>
      <c r="G65" s="228"/>
      <c r="H65" s="228"/>
      <c r="I65" s="228"/>
      <c r="J65" s="228"/>
      <c r="K65" s="228"/>
      <c r="L65" s="228"/>
      <c r="M65" s="228"/>
      <c r="N65" s="228"/>
      <c r="O65" s="228"/>
      <c r="P65" s="228"/>
      <c r="Q65" s="228"/>
      <c r="R65" s="229"/>
    </row>
    <row r="66" spans="2:18" ht="18" hidden="1" customHeight="1" x14ac:dyDescent="0.2">
      <c r="B66" s="168" t="s">
        <v>32</v>
      </c>
      <c r="C66" s="169"/>
      <c r="D66" s="170"/>
      <c r="E66" s="70">
        <v>1</v>
      </c>
      <c r="F66" s="70">
        <v>2</v>
      </c>
      <c r="G66" s="70">
        <v>3</v>
      </c>
      <c r="H66" s="70">
        <v>4</v>
      </c>
      <c r="I66" s="70">
        <v>5</v>
      </c>
      <c r="J66" s="70">
        <v>6</v>
      </c>
      <c r="K66" s="70">
        <v>7</v>
      </c>
      <c r="L66" s="70">
        <v>8</v>
      </c>
      <c r="M66" s="70">
        <v>9</v>
      </c>
      <c r="N66" s="70">
        <v>10</v>
      </c>
      <c r="O66" s="70">
        <v>11</v>
      </c>
      <c r="P66" s="70">
        <v>12</v>
      </c>
      <c r="Q66" s="70">
        <v>13</v>
      </c>
      <c r="R66" s="70">
        <v>14</v>
      </c>
    </row>
    <row r="67" spans="2:18" ht="18" customHeight="1" x14ac:dyDescent="0.2">
      <c r="B67" s="171"/>
      <c r="C67" s="172"/>
      <c r="D67" s="173"/>
      <c r="E67" s="74">
        <v>0.51</v>
      </c>
      <c r="F67" s="74">
        <v>1.01</v>
      </c>
      <c r="G67" s="74">
        <v>1.52</v>
      </c>
      <c r="H67" s="74">
        <v>2.02</v>
      </c>
      <c r="I67" s="74">
        <v>2.5299999999999998</v>
      </c>
      <c r="J67" s="74">
        <v>3.03</v>
      </c>
      <c r="K67" s="74">
        <v>3.53</v>
      </c>
      <c r="L67" s="74">
        <v>4.04</v>
      </c>
      <c r="M67" s="74">
        <v>4.54</v>
      </c>
      <c r="N67" s="74">
        <v>5.04</v>
      </c>
      <c r="O67" s="74">
        <v>5.53</v>
      </c>
      <c r="P67" s="74">
        <v>6.03</v>
      </c>
      <c r="Q67" s="74">
        <v>6.52</v>
      </c>
      <c r="R67" s="74">
        <v>7.02</v>
      </c>
    </row>
    <row r="68" spans="2:18" ht="18" customHeight="1" x14ac:dyDescent="0.2">
      <c r="B68" s="168" t="s">
        <v>33</v>
      </c>
      <c r="C68" s="169"/>
      <c r="D68" s="170"/>
      <c r="E68" s="71" t="s">
        <v>64</v>
      </c>
      <c r="F68" s="71" t="s">
        <v>63</v>
      </c>
      <c r="G68" s="71" t="s">
        <v>65</v>
      </c>
      <c r="H68" s="71" t="s">
        <v>66</v>
      </c>
      <c r="I68" s="71" t="s">
        <v>67</v>
      </c>
      <c r="J68" s="71" t="s">
        <v>68</v>
      </c>
      <c r="K68" s="71" t="s">
        <v>69</v>
      </c>
      <c r="L68" s="71" t="s">
        <v>70</v>
      </c>
      <c r="M68" s="71" t="s">
        <v>71</v>
      </c>
      <c r="N68" s="71" t="s">
        <v>72</v>
      </c>
      <c r="O68" s="71" t="s">
        <v>73</v>
      </c>
      <c r="P68" s="71" t="s">
        <v>74</v>
      </c>
      <c r="Q68" s="71" t="s">
        <v>75</v>
      </c>
      <c r="R68" s="71" t="s">
        <v>76</v>
      </c>
    </row>
    <row r="69" spans="2:18" ht="18" customHeight="1" x14ac:dyDescent="0.2">
      <c r="B69" s="171"/>
      <c r="C69" s="172"/>
      <c r="D69" s="173"/>
      <c r="E69" s="75">
        <v>0.51</v>
      </c>
      <c r="F69" s="75">
        <v>1.01</v>
      </c>
      <c r="G69" s="75">
        <v>1.52</v>
      </c>
      <c r="H69" s="75">
        <v>2.02</v>
      </c>
      <c r="I69" s="75">
        <v>2.5299999999999998</v>
      </c>
      <c r="J69" s="75">
        <v>3.03</v>
      </c>
      <c r="K69" s="75">
        <v>3.53</v>
      </c>
      <c r="L69" s="75">
        <v>4.04</v>
      </c>
      <c r="M69" s="75">
        <v>4.54</v>
      </c>
      <c r="N69" s="75">
        <v>5.04</v>
      </c>
      <c r="O69" s="75">
        <v>5.53</v>
      </c>
      <c r="P69" s="75">
        <v>6.03</v>
      </c>
      <c r="Q69" s="75">
        <v>6.52</v>
      </c>
      <c r="R69" s="75">
        <v>7.02</v>
      </c>
    </row>
    <row r="70" spans="2:18" ht="18" customHeight="1" x14ac:dyDescent="0.2">
      <c r="B70" s="72"/>
      <c r="C70" s="72"/>
      <c r="D70" s="72"/>
      <c r="E70" s="72"/>
      <c r="F70" s="72"/>
      <c r="G70" s="72"/>
      <c r="H70" s="72"/>
      <c r="I70" s="72"/>
      <c r="J70" s="72"/>
      <c r="K70" s="72"/>
      <c r="L70" s="72"/>
      <c r="M70" s="72"/>
      <c r="N70" s="72"/>
      <c r="O70" s="72"/>
      <c r="P70" s="72"/>
      <c r="Q70" s="72"/>
      <c r="R70" s="72"/>
    </row>
    <row r="71" spans="2:18" x14ac:dyDescent="0.2"/>
    <row r="72" spans="2:18" ht="18" customHeight="1" x14ac:dyDescent="0.2">
      <c r="B72" s="73" t="s">
        <v>15</v>
      </c>
      <c r="C72" s="217"/>
      <c r="D72" s="217"/>
      <c r="F72" s="43" t="s">
        <v>16</v>
      </c>
      <c r="G72" s="43"/>
      <c r="H72" s="167"/>
      <c r="I72" s="167"/>
      <c r="J72" s="167"/>
      <c r="K72" s="167"/>
      <c r="M72" s="43" t="s">
        <v>18</v>
      </c>
      <c r="N72" s="43"/>
      <c r="O72" s="167"/>
      <c r="P72" s="167"/>
      <c r="Q72" s="167"/>
      <c r="R72" s="167"/>
    </row>
    <row r="73" spans="2:18" ht="18" customHeight="1" x14ac:dyDescent="0.2">
      <c r="B73" s="73"/>
      <c r="F73" s="43"/>
      <c r="G73" s="43"/>
      <c r="M73" s="43"/>
      <c r="N73" s="43"/>
    </row>
    <row r="74" spans="2:18" ht="18" customHeight="1" x14ac:dyDescent="0.2">
      <c r="B74" s="73"/>
      <c r="C74" s="216"/>
      <c r="D74" s="216"/>
      <c r="F74" s="43" t="s">
        <v>17</v>
      </c>
      <c r="G74" s="43"/>
      <c r="H74" s="167"/>
      <c r="I74" s="167"/>
      <c r="J74" s="167"/>
      <c r="K74" s="167"/>
      <c r="M74" s="43" t="s">
        <v>17</v>
      </c>
      <c r="N74" s="43"/>
      <c r="O74" s="167"/>
      <c r="P74" s="167"/>
      <c r="Q74" s="167"/>
      <c r="R74" s="167"/>
    </row>
    <row r="75" spans="2:18" ht="12.75" customHeight="1" x14ac:dyDescent="0.2"/>
    <row r="76" spans="2:18" ht="22.5" customHeight="1" x14ac:dyDescent="0.2"/>
    <row r="77" spans="2:18" x14ac:dyDescent="0.2"/>
    <row r="78" spans="2:18" x14ac:dyDescent="0.2"/>
    <row r="79" spans="2:18" x14ac:dyDescent="0.2"/>
    <row r="80" spans="2:18"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sheetData>
  <sheetProtection algorithmName="SHA-512" hashValue="4KqumNo1TzcfD9iHc1/6tot11e/g6iBi8sQOwmfrdpPEkB/g1myy+CJnfGprfOLsGwN7d54YyAnBOlIVvG3pyg==" saltValue="21Ogk2lCDrYyPjik/6NSyQ==" spinCount="100000" sheet="1" objects="1" scenarios="1"/>
  <autoFilter ref="B32:R43" xr:uid="{B12289E7-A06F-4907-8C6C-35714CB2722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10" showButton="0"/>
    <filterColumn colId="11" showButton="0"/>
    <filterColumn colId="13" showButton="0"/>
    <filterColumn colId="14" showButton="0"/>
    <filterColumn colId="15" showButton="0"/>
  </autoFilter>
  <mergeCells count="111">
    <mergeCell ref="L34:N34"/>
    <mergeCell ref="L37:N37"/>
    <mergeCell ref="B38:K38"/>
    <mergeCell ref="B37:K37"/>
    <mergeCell ref="H72:K72"/>
    <mergeCell ref="J23:K23"/>
    <mergeCell ref="O38:R38"/>
    <mergeCell ref="B24:I24"/>
    <mergeCell ref="B48:C48"/>
    <mergeCell ref="D47:R47"/>
    <mergeCell ref="B39:K39"/>
    <mergeCell ref="B42:K42"/>
    <mergeCell ref="B34:K34"/>
    <mergeCell ref="O33:R33"/>
    <mergeCell ref="E65:R65"/>
    <mergeCell ref="O39:R39"/>
    <mergeCell ref="D26:I26"/>
    <mergeCell ref="D27:I27"/>
    <mergeCell ref="J27:K27"/>
    <mergeCell ref="J26:K26"/>
    <mergeCell ref="L40:N40"/>
    <mergeCell ref="O40:R40"/>
    <mergeCell ref="B40:D40"/>
    <mergeCell ref="F40:G40"/>
    <mergeCell ref="I40:J40"/>
    <mergeCell ref="O74:R74"/>
    <mergeCell ref="H74:K74"/>
    <mergeCell ref="C74:D74"/>
    <mergeCell ref="B61:H61"/>
    <mergeCell ref="C72:D72"/>
    <mergeCell ref="B63:R63"/>
    <mergeCell ref="B60:H60"/>
    <mergeCell ref="B49:C49"/>
    <mergeCell ref="L41:N41"/>
    <mergeCell ref="I60:R60"/>
    <mergeCell ref="I61:R61"/>
    <mergeCell ref="B64:R64"/>
    <mergeCell ref="B65:D65"/>
    <mergeCell ref="B59:R59"/>
    <mergeCell ref="B50:B58"/>
    <mergeCell ref="B41:K41"/>
    <mergeCell ref="O41:R41"/>
    <mergeCell ref="J18:K18"/>
    <mergeCell ref="O37:R37"/>
    <mergeCell ref="B43:K43"/>
    <mergeCell ref="L42:N42"/>
    <mergeCell ref="O72:R72"/>
    <mergeCell ref="B66:D67"/>
    <mergeCell ref="B68:D69"/>
    <mergeCell ref="L43:N43"/>
    <mergeCell ref="O43:R43"/>
    <mergeCell ref="L23:R23"/>
    <mergeCell ref="L33:N33"/>
    <mergeCell ref="J25:K25"/>
    <mergeCell ref="J28:K29"/>
    <mergeCell ref="B28:I29"/>
    <mergeCell ref="L38:N38"/>
    <mergeCell ref="B35:K35"/>
    <mergeCell ref="B32:K32"/>
    <mergeCell ref="O35:R35"/>
    <mergeCell ref="L36:N36"/>
    <mergeCell ref="O36:R36"/>
    <mergeCell ref="O34:R34"/>
    <mergeCell ref="L35:N35"/>
    <mergeCell ref="B36:K36"/>
    <mergeCell ref="L39:N39"/>
    <mergeCell ref="L26:P26"/>
    <mergeCell ref="L27:P27"/>
    <mergeCell ref="J24:K24"/>
    <mergeCell ref="B23:I23"/>
    <mergeCell ref="L24:P24"/>
    <mergeCell ref="L32:N32"/>
    <mergeCell ref="B33:K33"/>
    <mergeCell ref="D25:I25"/>
    <mergeCell ref="E19:I19"/>
    <mergeCell ref="L25:P25"/>
    <mergeCell ref="L28:R29"/>
    <mergeCell ref="L19:R19"/>
    <mergeCell ref="J19:K19"/>
    <mergeCell ref="J21:K21"/>
    <mergeCell ref="L21:R21"/>
    <mergeCell ref="J20:K20"/>
    <mergeCell ref="B19:D20"/>
    <mergeCell ref="E20:I20"/>
    <mergeCell ref="B30:R30"/>
    <mergeCell ref="O32:R32"/>
    <mergeCell ref="L20:R20"/>
    <mergeCell ref="B1:R1"/>
    <mergeCell ref="B10:R10"/>
    <mergeCell ref="B4:R6"/>
    <mergeCell ref="B7:R8"/>
    <mergeCell ref="D11:M11"/>
    <mergeCell ref="L18:R18"/>
    <mergeCell ref="E17:F17"/>
    <mergeCell ref="O15:P15"/>
    <mergeCell ref="B18:D18"/>
    <mergeCell ref="O14:P14"/>
    <mergeCell ref="G14:H14"/>
    <mergeCell ref="E18:I18"/>
    <mergeCell ref="N12:O12"/>
    <mergeCell ref="Q12:R12"/>
    <mergeCell ref="O13:P13"/>
    <mergeCell ref="Q13:R13"/>
    <mergeCell ref="D12:M12"/>
    <mergeCell ref="J16:K16"/>
    <mergeCell ref="L16:R16"/>
    <mergeCell ref="B17:D17"/>
    <mergeCell ref="B15:F15"/>
    <mergeCell ref="L17:R17"/>
    <mergeCell ref="J17:K17"/>
    <mergeCell ref="G17:I17"/>
  </mergeCells>
  <phoneticPr fontId="0" type="noConversion"/>
  <conditionalFormatting sqref="L40:N40">
    <cfRule type="expression" dxfId="37" priority="36" stopIfTrue="1">
      <formula>$L$40="Vessel may proceed with the transit"</formula>
    </cfRule>
    <cfRule type="expression" dxfId="36" priority="37" stopIfTrue="1">
      <formula>$L$40="Vessel is not allowed to proceed with the transit"</formula>
    </cfRule>
    <cfRule type="expression" dxfId="35" priority="38" stopIfTrue="1">
      <formula>$L$39="Non Compliant"</formula>
    </cfRule>
    <cfRule type="expression" dxfId="34" priority="39" stopIfTrue="1">
      <formula>$L$39="Compliant"</formula>
    </cfRule>
    <cfRule type="expression" dxfId="33" priority="40" stopIfTrue="1">
      <formula>$L$39="Non Compliant"</formula>
    </cfRule>
    <cfRule type="expression" dxfId="32" priority="41" stopIfTrue="1">
      <formula>$L$39="Compliant"</formula>
    </cfRule>
    <cfRule type="expression" dxfId="31" priority="42" stopIfTrue="1">
      <formula>$L$39="Non Compliant"</formula>
    </cfRule>
    <cfRule type="expression" dxfId="30" priority="43" stopIfTrue="1">
      <formula>$L$39="Compliant"</formula>
    </cfRule>
    <cfRule type="expression" dxfId="29" priority="44" stopIfTrue="1">
      <formula>$L$39="Non Compliant"</formula>
    </cfRule>
    <cfRule type="expression" dxfId="28" priority="45" stopIfTrue="1">
      <formula>$L$39="Compliant"</formula>
    </cfRule>
    <cfRule type="expression" priority="46" stopIfTrue="1">
      <formula>IF($L$36&gt;=$L$38,"Compliant","Non Compliant")</formula>
    </cfRule>
  </conditionalFormatting>
  <conditionalFormatting sqref="L42:N42">
    <cfRule type="expression" dxfId="27" priority="24" stopIfTrue="1">
      <formula>$L$42="Compliant"</formula>
    </cfRule>
    <cfRule type="expression" dxfId="26" priority="25" stopIfTrue="1">
      <formula>$L$42="Compliant"</formula>
    </cfRule>
    <cfRule type="expression" dxfId="25" priority="26" stopIfTrue="1">
      <formula>$N$44="Compliant"</formula>
    </cfRule>
    <cfRule type="expression" dxfId="24" priority="27" stopIfTrue="1">
      <formula>$L$42="Non Compliant"</formula>
    </cfRule>
    <cfRule type="expression" dxfId="23" priority="28" stopIfTrue="1">
      <formula>$L$42="Non Compliant"</formula>
    </cfRule>
    <cfRule type="expression" dxfId="22" priority="29" stopIfTrue="1">
      <formula>$L$42="Compliant"</formula>
    </cfRule>
  </conditionalFormatting>
  <conditionalFormatting sqref="L43:N43">
    <cfRule type="expression" dxfId="21" priority="16" stopIfTrue="1">
      <formula>$L$43="Compliant"</formula>
    </cfRule>
    <cfRule type="expression" dxfId="20" priority="17" stopIfTrue="1">
      <formula>$L$43="Compliant"</formula>
    </cfRule>
    <cfRule type="expression" dxfId="19" priority="18" stopIfTrue="1">
      <formula>$L$43="Compliant"</formula>
    </cfRule>
    <cfRule type="expression" dxfId="18" priority="19" stopIfTrue="1">
      <formula>$L$43="Compliant"</formula>
    </cfRule>
    <cfRule type="expression" dxfId="17" priority="20" stopIfTrue="1">
      <formula>$L$43="Non Compliant"</formula>
    </cfRule>
    <cfRule type="expression" dxfId="16" priority="21" stopIfTrue="1">
      <formula>$L$43="Non Compliant"</formula>
    </cfRule>
    <cfRule type="expression" dxfId="15" priority="22" stopIfTrue="1">
      <formula>$L$43="Non Compliant"</formula>
    </cfRule>
    <cfRule type="expression" dxfId="14" priority="23" stopIfTrue="1">
      <formula>$L$43="Non Compliant"</formula>
    </cfRule>
  </conditionalFormatting>
  <conditionalFormatting sqref="A40 S40:XFD40">
    <cfRule type="expression" dxfId="13" priority="15">
      <formula>IF($L$39="Compliant","")</formula>
    </cfRule>
  </conditionalFormatting>
  <conditionalFormatting sqref="L39:N39">
    <cfRule type="expression" dxfId="12" priority="4" stopIfTrue="1">
      <formula>$L$39="Compliant"</formula>
    </cfRule>
    <cfRule type="expression" dxfId="11" priority="5" stopIfTrue="1">
      <formula>$L$39="Non Compliant"</formula>
    </cfRule>
    <cfRule type="expression" dxfId="10" priority="6" stopIfTrue="1">
      <formula>$L$39="Non Compliant"</formula>
    </cfRule>
    <cfRule type="expression" dxfId="9" priority="7" stopIfTrue="1">
      <formula>$L$39="Compliant"</formula>
    </cfRule>
    <cfRule type="expression" dxfId="8" priority="8" stopIfTrue="1">
      <formula>$L$39="Non Compliant"</formula>
    </cfRule>
    <cfRule type="expression" dxfId="7" priority="9" stopIfTrue="1">
      <formula>$L$39="Compliant"</formula>
    </cfRule>
    <cfRule type="expression" dxfId="6" priority="10" stopIfTrue="1">
      <formula>$L$39="Non Compliant"</formula>
    </cfRule>
    <cfRule type="expression" dxfId="5" priority="11" stopIfTrue="1">
      <formula>$L$39="Compliant"</formula>
    </cfRule>
    <cfRule type="expression" dxfId="4" priority="12" stopIfTrue="1">
      <formula>$L$39="Non Compliant"</formula>
    </cfRule>
    <cfRule type="expression" dxfId="3" priority="13" stopIfTrue="1">
      <formula>$L$39="Compliant"</formula>
    </cfRule>
    <cfRule type="expression" priority="14" stopIfTrue="1">
      <formula>IF($L$36&gt;=$L$38,"Compliant","Non Compliant")</formula>
    </cfRule>
  </conditionalFormatting>
  <conditionalFormatting sqref="E40">
    <cfRule type="expression" dxfId="2" priority="3">
      <formula>$L$39="Compliant"</formula>
    </cfRule>
  </conditionalFormatting>
  <conditionalFormatting sqref="H40">
    <cfRule type="expression" dxfId="1" priority="2">
      <formula>$L$39="Compliant"</formula>
    </cfRule>
  </conditionalFormatting>
  <conditionalFormatting sqref="K40">
    <cfRule type="expression" dxfId="0" priority="1">
      <formula>$L$39="Compliant"</formula>
    </cfRule>
  </conditionalFormatting>
  <dataValidations count="2">
    <dataValidation type="date" errorStyle="warning" allowBlank="1" showInputMessage="1" showErrorMessage="1" errorTitle="INVALID ENTRY" error="Enter Date = dd-mmm-yy (eg. 08-Aug-79)" promptTitle="Date Format" prompt="dd-mmm-yy" sqref="C72:D72" xr:uid="{00000000-0002-0000-0000-000000000000}">
      <formula1>29075</formula1>
      <formula2>44051</formula2>
    </dataValidation>
    <dataValidation type="list" allowBlank="1" showInputMessage="1" showErrorMessage="1" sqref="J16:K16" xr:uid="{00000000-0002-0000-0000-000001000000}">
      <formula1>"Metres, Feet"</formula1>
    </dataValidation>
  </dataValidations>
  <printOptions horizontalCentered="1"/>
  <pageMargins left="0.23622047244094491" right="0.23622047244094491" top="0.78740157480314965" bottom="0.70866141732283472" header="0.23622047244094491" footer="0.23622047244094491"/>
  <pageSetup scale="85" fitToHeight="2" orientation="portrait" r:id="rId1"/>
  <headerFooter alignWithMargins="0">
    <oddHeader>&amp;C&amp;G</oddHeader>
    <oddFooter xml:space="preserve">&amp;L&amp;UForm No: NM005A
Folder No: SM1
&amp;C&amp;UIssue No: 000
&amp;R&amp;UIssue Date: 15-Oct-20
</oddFooter>
  </headerFooter>
  <legacy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2000000}">
          <x14:formula1>
            <xm:f>Data!$A$15:$A$23</xm:f>
          </x14:formula1>
          <xm:sqref>L33:N33</xm:sqref>
        </x14:dataValidation>
        <x14:dataValidation type="list" allowBlank="1" showInputMessage="1" showErrorMessage="1" xr:uid="{00000000-0002-0000-0000-000003000000}">
          <x14:formula1>
            <xm:f>Data!$A$25:$A$32</xm:f>
          </x14:formula1>
          <xm:sqref>O38:R38</xm:sqref>
        </x14:dataValidation>
        <x14:dataValidation type="list" allowBlank="1" showInputMessage="1" showErrorMessage="1" xr:uid="{AFB3271D-C139-4984-8BC6-4C7E0FB39A63}">
          <x14:formula1>
            <xm:f>Data!$G$15:$G$17</xm:f>
          </x14:formula1>
          <xm:sqref>E40 H40 K40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59"/>
  <sheetViews>
    <sheetView topLeftCell="A7" workbookViewId="0">
      <selection activeCell="A24" sqref="A24"/>
    </sheetView>
  </sheetViews>
  <sheetFormatPr defaultRowHeight="12.75" x14ac:dyDescent="0.2"/>
  <sheetData>
    <row r="1" spans="1:24" x14ac:dyDescent="0.2">
      <c r="A1" s="18" t="s">
        <v>62</v>
      </c>
      <c r="B1" s="19"/>
      <c r="C1" s="20"/>
      <c r="D1" s="21">
        <f>NM005A!O13</f>
        <v>58</v>
      </c>
      <c r="E1" s="22" t="s">
        <v>80</v>
      </c>
      <c r="F1" s="22"/>
      <c r="G1" s="22"/>
      <c r="H1" s="22"/>
      <c r="I1" s="22"/>
      <c r="J1" s="22"/>
      <c r="K1" s="22"/>
      <c r="L1" s="22"/>
      <c r="M1" s="22"/>
      <c r="N1" s="22"/>
      <c r="O1" s="22"/>
      <c r="P1" s="22"/>
      <c r="Q1" s="22"/>
      <c r="R1" s="22"/>
      <c r="S1" s="22"/>
      <c r="T1" s="22"/>
      <c r="U1" s="22"/>
      <c r="V1" s="22"/>
      <c r="W1" s="22"/>
      <c r="X1" s="22"/>
    </row>
    <row r="2" spans="1:24" x14ac:dyDescent="0.2">
      <c r="A2" s="18" t="s">
        <v>79</v>
      </c>
      <c r="B2" s="19"/>
      <c r="C2" s="20"/>
      <c r="D2" s="23">
        <f>NM005A!G14</f>
        <v>2000</v>
      </c>
      <c r="E2" s="22" t="s">
        <v>80</v>
      </c>
      <c r="F2" s="22"/>
      <c r="G2" s="22"/>
      <c r="H2" s="22"/>
      <c r="I2" s="22"/>
      <c r="J2" s="22"/>
      <c r="K2" s="22"/>
      <c r="L2" s="22"/>
      <c r="M2" s="22"/>
      <c r="N2" s="22"/>
      <c r="O2" s="22"/>
      <c r="P2" s="22"/>
      <c r="Q2" s="22"/>
      <c r="R2" s="22"/>
      <c r="S2" s="22"/>
      <c r="T2" s="22"/>
      <c r="U2" s="22"/>
      <c r="V2" s="22"/>
      <c r="W2" s="22"/>
      <c r="X2" s="22"/>
    </row>
    <row r="3" spans="1:24" x14ac:dyDescent="0.2">
      <c r="A3" s="18" t="s">
        <v>81</v>
      </c>
      <c r="B3" s="19"/>
      <c r="C3" s="20"/>
      <c r="D3" s="24">
        <f>NM005A!O14</f>
        <v>0</v>
      </c>
      <c r="E3" s="22"/>
      <c r="F3" s="22"/>
      <c r="G3" s="22"/>
      <c r="H3" s="22"/>
      <c r="I3" s="22"/>
      <c r="J3" s="22"/>
      <c r="K3" s="22"/>
      <c r="L3" s="22"/>
      <c r="M3" s="22"/>
      <c r="N3" s="22"/>
      <c r="O3" s="22"/>
      <c r="P3" s="22"/>
      <c r="Q3" s="22"/>
      <c r="R3" s="22"/>
      <c r="S3" s="22"/>
      <c r="T3" s="22"/>
      <c r="U3" s="22"/>
      <c r="V3" s="22"/>
      <c r="W3" s="22"/>
      <c r="X3" s="22"/>
    </row>
    <row r="4" spans="1:24" x14ac:dyDescent="0.2">
      <c r="A4" s="18" t="s">
        <v>82</v>
      </c>
      <c r="B4" s="19"/>
      <c r="C4" s="20"/>
      <c r="D4" s="25" t="str">
        <f>IF(A8=A11,"Open","Confined")</f>
        <v>Open</v>
      </c>
      <c r="E4" s="22" t="s">
        <v>83</v>
      </c>
      <c r="F4" s="22"/>
      <c r="G4" s="22"/>
      <c r="H4" s="22"/>
      <c r="I4" s="22"/>
      <c r="J4" s="22"/>
      <c r="K4" s="22"/>
      <c r="L4" s="22"/>
      <c r="M4" s="22"/>
      <c r="N4" s="22"/>
      <c r="O4" s="22"/>
      <c r="P4" s="22"/>
      <c r="Q4" s="22"/>
      <c r="R4" s="22"/>
      <c r="S4" s="22"/>
      <c r="T4" s="22"/>
      <c r="U4" s="22"/>
      <c r="V4" s="22"/>
      <c r="W4" s="22"/>
      <c r="X4" s="22"/>
    </row>
    <row r="5" spans="1:24" x14ac:dyDescent="0.2">
      <c r="A5" s="22"/>
      <c r="B5" s="22"/>
      <c r="C5" s="22"/>
      <c r="D5" s="22"/>
      <c r="E5" s="22"/>
      <c r="F5" s="22"/>
      <c r="G5" s="22"/>
      <c r="H5" s="22"/>
      <c r="I5" s="22"/>
      <c r="J5" s="22"/>
      <c r="K5" s="22"/>
      <c r="L5" s="22"/>
      <c r="M5" s="22"/>
      <c r="N5" s="22"/>
      <c r="O5" s="22"/>
      <c r="P5" s="22"/>
      <c r="Q5" s="22"/>
      <c r="R5" s="22"/>
      <c r="S5" s="22"/>
      <c r="T5" s="22"/>
      <c r="U5" s="22"/>
      <c r="V5" s="22"/>
      <c r="W5" s="22"/>
      <c r="X5" s="22"/>
    </row>
    <row r="6" spans="1:24" x14ac:dyDescent="0.2">
      <c r="A6" s="22" t="s">
        <v>86</v>
      </c>
      <c r="B6" s="22"/>
      <c r="C6" s="22"/>
      <c r="D6" s="22"/>
      <c r="E6" s="22"/>
      <c r="F6" s="22"/>
      <c r="G6" s="22"/>
      <c r="H6" s="22"/>
      <c r="I6" s="22"/>
      <c r="J6" s="22"/>
      <c r="K6" s="22"/>
      <c r="L6" s="22"/>
      <c r="M6" s="22"/>
      <c r="N6" s="22"/>
      <c r="O6" s="22"/>
      <c r="P6" s="22"/>
      <c r="Q6" s="22"/>
      <c r="R6" s="22"/>
      <c r="S6" s="22"/>
      <c r="T6" s="22"/>
      <c r="U6" s="22"/>
      <c r="V6" s="22"/>
      <c r="W6" s="22"/>
      <c r="X6" s="22"/>
    </row>
    <row r="7" spans="1:24" x14ac:dyDescent="0.2">
      <c r="A7" s="22" t="s">
        <v>85</v>
      </c>
      <c r="B7" s="22"/>
      <c r="C7" s="22"/>
      <c r="D7" s="22">
        <f>Sheet1!B6</f>
        <v>2.4857142857142855E-2</v>
      </c>
      <c r="E7" s="22"/>
      <c r="F7" s="22" t="s">
        <v>89</v>
      </c>
      <c r="G7" s="22"/>
      <c r="H7" s="22"/>
      <c r="I7" s="22"/>
      <c r="J7" s="22"/>
      <c r="K7" s="22" t="str">
        <f>IF(D7&gt;0.1,D7,"VESSEL IS IN OPEN WATERS")</f>
        <v>VESSEL IS IN OPEN WATERS</v>
      </c>
      <c r="L7" s="22"/>
      <c r="M7" s="22"/>
      <c r="N7" s="22"/>
      <c r="O7" s="22"/>
      <c r="P7" s="22"/>
      <c r="Q7" s="22"/>
      <c r="R7" s="22"/>
      <c r="S7" s="22"/>
      <c r="T7" s="22"/>
      <c r="U7" s="22"/>
      <c r="V7" s="22"/>
      <c r="W7" s="22"/>
      <c r="X7" s="22"/>
    </row>
    <row r="8" spans="1:24" x14ac:dyDescent="0.2">
      <c r="A8" s="26" t="str">
        <f>IF(K9=D7,"VESSEL IS IN CONFINED WATERS","VESSEL IS IN OPEN WATERS")</f>
        <v>VESSEL IS IN OPEN WATERS</v>
      </c>
      <c r="B8" s="22"/>
      <c r="C8" s="22"/>
      <c r="D8" s="22"/>
      <c r="E8" s="22"/>
      <c r="F8" s="22"/>
      <c r="G8" s="22"/>
      <c r="H8" s="22"/>
      <c r="I8" s="22"/>
      <c r="J8" s="22"/>
      <c r="K8" s="22" t="str">
        <f>IF(K7&lt;0.3,K7,"VESSEL IS IN OPEN WATERS")</f>
        <v>VESSEL IS IN OPEN WATERS</v>
      </c>
      <c r="L8" s="22"/>
      <c r="M8" s="22"/>
      <c r="N8" s="22"/>
      <c r="O8" s="22"/>
      <c r="P8" s="22"/>
      <c r="Q8" s="22"/>
      <c r="R8" s="22"/>
      <c r="S8" s="22"/>
      <c r="T8" s="22"/>
      <c r="U8" s="22"/>
      <c r="V8" s="22"/>
      <c r="W8" s="22"/>
      <c r="X8" s="22"/>
    </row>
    <row r="9" spans="1:24" x14ac:dyDescent="0.2">
      <c r="A9" s="22" t="s">
        <v>87</v>
      </c>
      <c r="B9" s="22"/>
      <c r="C9" s="22"/>
      <c r="D9" s="22"/>
      <c r="E9" s="22"/>
      <c r="F9" s="22"/>
      <c r="G9" s="22"/>
      <c r="H9" s="22"/>
      <c r="I9" s="22"/>
      <c r="J9" s="22"/>
      <c r="K9" s="22">
        <f>(SUM(K7:K8))/2</f>
        <v>0</v>
      </c>
      <c r="L9" s="22"/>
      <c r="M9" s="22"/>
      <c r="N9" s="22"/>
      <c r="O9" s="22"/>
      <c r="P9" s="22"/>
      <c r="Q9" s="22"/>
      <c r="R9" s="22"/>
      <c r="S9" s="22"/>
      <c r="T9" s="22"/>
      <c r="U9" s="22"/>
      <c r="V9" s="22"/>
      <c r="W9" s="22"/>
      <c r="X9" s="22"/>
    </row>
    <row r="10" spans="1:24" x14ac:dyDescent="0.2">
      <c r="A10" s="22" t="s">
        <v>88</v>
      </c>
      <c r="B10" s="22"/>
      <c r="C10" s="22"/>
      <c r="D10" s="22">
        <f>Sheet1!B8</f>
        <v>1.1666666666666667</v>
      </c>
      <c r="E10" s="22"/>
      <c r="F10" s="22" t="s">
        <v>90</v>
      </c>
      <c r="G10" s="22"/>
      <c r="H10" s="22"/>
      <c r="I10" s="22"/>
      <c r="J10" s="22"/>
      <c r="K10" s="22"/>
      <c r="L10" s="22"/>
      <c r="M10" s="22"/>
      <c r="N10" s="22"/>
      <c r="O10" s="22"/>
      <c r="P10" s="22"/>
      <c r="Q10" s="22"/>
      <c r="R10" s="22"/>
      <c r="S10" s="22"/>
      <c r="T10" s="22"/>
      <c r="U10" s="22"/>
      <c r="V10" s="22"/>
      <c r="W10" s="22"/>
      <c r="X10" s="22"/>
    </row>
    <row r="11" spans="1:24" x14ac:dyDescent="0.2">
      <c r="A11" s="26" t="str">
        <f>IF(D10&gt;1.1,"VESSEL IS IN OPEN WATERS","VESSEL IS IN CONFINED WATERS")</f>
        <v>VESSEL IS IN OPEN WATERS</v>
      </c>
      <c r="B11" s="22"/>
      <c r="C11" s="22"/>
      <c r="D11" s="22"/>
      <c r="E11" s="22"/>
      <c r="F11" s="22"/>
      <c r="G11" s="22"/>
      <c r="H11" s="22"/>
      <c r="I11" s="22"/>
      <c r="J11" s="22"/>
      <c r="K11" s="22"/>
      <c r="L11" s="22"/>
      <c r="M11" s="22"/>
      <c r="N11" s="22"/>
      <c r="O11" s="22"/>
      <c r="P11" s="22"/>
      <c r="Q11" s="22"/>
      <c r="R11" s="22"/>
      <c r="S11" s="22"/>
      <c r="T11" s="22"/>
      <c r="U11" s="22"/>
      <c r="V11" s="22"/>
      <c r="W11" s="22"/>
      <c r="X11" s="22"/>
    </row>
    <row r="12" spans="1:24" x14ac:dyDescent="0.2">
      <c r="A12" s="22" t="s">
        <v>91</v>
      </c>
      <c r="B12" s="22"/>
      <c r="C12" s="22"/>
      <c r="D12" s="22"/>
      <c r="E12" s="27" t="e">
        <f>IF(D4="Confined",Sheet1!B30,Sheet1!B32)</f>
        <v>#VALUE!</v>
      </c>
      <c r="F12" s="22" t="s">
        <v>19</v>
      </c>
      <c r="G12" s="28" t="s">
        <v>128</v>
      </c>
      <c r="H12" s="22"/>
      <c r="I12" s="22"/>
      <c r="J12" s="22"/>
      <c r="K12" s="22"/>
      <c r="L12" s="22"/>
      <c r="M12" s="22"/>
      <c r="N12" s="22"/>
      <c r="O12" s="22"/>
      <c r="P12" s="22"/>
      <c r="Q12" s="22"/>
      <c r="R12" s="22"/>
      <c r="S12" s="22"/>
      <c r="T12" s="22"/>
      <c r="U12" s="22"/>
      <c r="V12" s="22"/>
      <c r="W12" s="22"/>
      <c r="X12" s="22"/>
    </row>
    <row r="13" spans="1:24" x14ac:dyDescent="0.2">
      <c r="A13" s="22"/>
      <c r="B13" s="22"/>
      <c r="C13" s="22"/>
      <c r="D13" s="22"/>
      <c r="E13" s="22"/>
      <c r="F13" s="22"/>
      <c r="G13" s="22"/>
      <c r="H13" s="22"/>
      <c r="I13" s="22"/>
      <c r="J13" s="22"/>
      <c r="K13" s="22"/>
      <c r="L13" s="22"/>
      <c r="M13" s="22"/>
      <c r="N13" s="22"/>
      <c r="O13" s="22"/>
      <c r="P13" s="22"/>
      <c r="Q13" s="22"/>
      <c r="R13" s="22"/>
      <c r="S13" s="22"/>
      <c r="T13" s="22"/>
      <c r="U13" s="22"/>
      <c r="V13" s="22"/>
      <c r="W13" s="22"/>
      <c r="X13" s="22"/>
    </row>
    <row r="14" spans="1:24" x14ac:dyDescent="0.2">
      <c r="A14" s="22"/>
      <c r="B14" s="22"/>
      <c r="C14" s="22"/>
      <c r="D14" s="22"/>
      <c r="E14" s="22"/>
      <c r="F14" s="22"/>
      <c r="G14" s="22"/>
      <c r="H14" s="22"/>
      <c r="I14" s="22"/>
      <c r="J14" s="22"/>
      <c r="K14" s="22"/>
      <c r="L14" s="22"/>
      <c r="M14" s="22"/>
      <c r="N14" s="22"/>
      <c r="O14" s="22"/>
      <c r="P14" s="22"/>
      <c r="Q14" s="22"/>
      <c r="R14" s="22"/>
      <c r="S14" s="22"/>
      <c r="T14" s="22"/>
      <c r="U14" s="22"/>
      <c r="V14" s="22"/>
      <c r="W14" s="22"/>
      <c r="X14" s="22"/>
    </row>
    <row r="15" spans="1:24" x14ac:dyDescent="0.2">
      <c r="A15" s="29" t="s">
        <v>109</v>
      </c>
      <c r="B15" s="22"/>
      <c r="C15" s="22">
        <f>0.5+(0.01*NM005A!J17)</f>
        <v>0.72499999999999998</v>
      </c>
      <c r="D15" s="22"/>
      <c r="E15" s="22"/>
      <c r="F15" s="22"/>
      <c r="G15" s="22"/>
      <c r="H15" s="22"/>
      <c r="I15" s="22"/>
      <c r="J15" s="22"/>
      <c r="K15" s="22"/>
      <c r="L15" s="22"/>
      <c r="M15" s="22"/>
      <c r="N15" s="22"/>
      <c r="O15" s="22"/>
      <c r="P15" s="22"/>
      <c r="Q15" s="22"/>
      <c r="R15" s="22"/>
      <c r="S15" s="22"/>
      <c r="T15" s="22"/>
      <c r="U15" s="22"/>
      <c r="V15" s="22"/>
      <c r="W15" s="22"/>
      <c r="X15" s="22"/>
    </row>
    <row r="16" spans="1:24" x14ac:dyDescent="0.2">
      <c r="A16" s="29" t="s">
        <v>111</v>
      </c>
      <c r="B16" s="22"/>
      <c r="C16" s="22">
        <f>1+(0.02*NM005A!J17)</f>
        <v>1.45</v>
      </c>
      <c r="D16" s="22"/>
      <c r="E16" s="22"/>
      <c r="F16" s="22"/>
      <c r="G16" s="28" t="s">
        <v>138</v>
      </c>
      <c r="H16" s="22"/>
      <c r="I16" s="22"/>
      <c r="J16" s="22"/>
      <c r="K16" s="22"/>
      <c r="L16" s="22"/>
      <c r="M16" s="22"/>
      <c r="N16" s="22"/>
      <c r="O16" s="22"/>
      <c r="P16" s="22"/>
      <c r="Q16" s="22"/>
      <c r="R16" s="22"/>
      <c r="S16" s="22"/>
      <c r="T16" s="22"/>
      <c r="U16" s="22"/>
      <c r="V16" s="22"/>
      <c r="W16" s="22"/>
      <c r="X16" s="22"/>
    </row>
    <row r="17" spans="1:24" x14ac:dyDescent="0.2">
      <c r="A17" s="29" t="s">
        <v>110</v>
      </c>
      <c r="B17" s="22"/>
      <c r="C17" s="22">
        <f>1+(0.02*NM005A!J17)</f>
        <v>1.45</v>
      </c>
      <c r="D17" s="22"/>
      <c r="E17" s="22"/>
      <c r="F17" s="22"/>
      <c r="G17" s="28" t="s">
        <v>139</v>
      </c>
      <c r="H17" s="22"/>
      <c r="I17" s="22"/>
      <c r="J17" s="22"/>
      <c r="K17" s="22"/>
      <c r="L17" s="22"/>
      <c r="M17" s="22"/>
      <c r="N17" s="22"/>
      <c r="O17" s="22"/>
      <c r="P17" s="22"/>
      <c r="Q17" s="22"/>
      <c r="R17" s="22"/>
      <c r="S17" s="22"/>
      <c r="T17" s="22"/>
      <c r="U17" s="22"/>
      <c r="V17" s="22"/>
      <c r="W17" s="22"/>
      <c r="X17" s="22"/>
    </row>
    <row r="18" spans="1:24" x14ac:dyDescent="0.2">
      <c r="A18" s="29" t="s">
        <v>112</v>
      </c>
      <c r="B18" s="22"/>
      <c r="C18" s="22">
        <f>2+(0.05*NM005A!J17)</f>
        <v>3.125</v>
      </c>
      <c r="D18" s="22"/>
      <c r="E18" s="22"/>
      <c r="F18" s="22"/>
      <c r="G18" s="22"/>
      <c r="H18" s="22"/>
      <c r="I18" s="22"/>
      <c r="J18" s="22"/>
      <c r="K18" s="22"/>
      <c r="L18" s="22"/>
      <c r="M18" s="22"/>
      <c r="N18" s="22"/>
      <c r="O18" s="22"/>
      <c r="P18" s="22"/>
      <c r="Q18" s="22"/>
      <c r="R18" s="22"/>
      <c r="S18" s="22"/>
      <c r="T18" s="22"/>
      <c r="U18" s="22"/>
      <c r="V18" s="22"/>
      <c r="W18" s="22"/>
      <c r="X18" s="22"/>
    </row>
    <row r="19" spans="1:24" x14ac:dyDescent="0.2">
      <c r="A19" s="29" t="s">
        <v>113</v>
      </c>
      <c r="B19" s="22"/>
      <c r="C19" s="22">
        <f>2+(0.05*NM005A!J17)</f>
        <v>3.125</v>
      </c>
      <c r="D19" s="22"/>
      <c r="E19" s="22"/>
      <c r="F19" s="22"/>
      <c r="G19" s="22"/>
      <c r="H19" s="22"/>
      <c r="I19" s="22"/>
      <c r="J19" s="22"/>
      <c r="K19" s="22"/>
      <c r="L19" s="22"/>
      <c r="M19" s="22"/>
      <c r="N19" s="22"/>
      <c r="O19" s="22"/>
      <c r="P19" s="22"/>
      <c r="Q19" s="22"/>
      <c r="R19" s="22"/>
      <c r="S19" s="22"/>
      <c r="T19" s="22"/>
      <c r="U19" s="22"/>
      <c r="V19" s="22"/>
      <c r="W19" s="22"/>
      <c r="X19" s="22"/>
    </row>
    <row r="20" spans="1:24" x14ac:dyDescent="0.2">
      <c r="A20" s="29" t="s">
        <v>114</v>
      </c>
      <c r="B20" s="22"/>
      <c r="C20" s="22">
        <f>2+(0.05*NM005A!J17)</f>
        <v>3.125</v>
      </c>
      <c r="D20" s="22"/>
      <c r="E20" s="22"/>
      <c r="F20" s="22"/>
      <c r="G20" s="22"/>
      <c r="H20" s="22"/>
      <c r="I20" s="22"/>
      <c r="J20" s="22"/>
      <c r="K20" s="22"/>
      <c r="L20" s="22"/>
      <c r="M20" s="22"/>
      <c r="N20" s="22"/>
      <c r="O20" s="22"/>
      <c r="P20" s="22"/>
      <c r="Q20" s="22"/>
      <c r="R20" s="22"/>
      <c r="S20" s="22"/>
      <c r="T20" s="22"/>
      <c r="U20" s="22"/>
      <c r="V20" s="22"/>
      <c r="W20" s="22"/>
      <c r="X20" s="22"/>
    </row>
    <row r="21" spans="1:24" x14ac:dyDescent="0.2">
      <c r="A21" s="29" t="s">
        <v>115</v>
      </c>
      <c r="B21" s="22"/>
      <c r="C21" s="22">
        <v>0</v>
      </c>
      <c r="D21" s="22"/>
      <c r="E21" s="22"/>
      <c r="F21" s="22"/>
      <c r="G21" s="22"/>
      <c r="H21" s="22"/>
      <c r="I21" s="22"/>
      <c r="J21" s="22"/>
      <c r="K21" s="22"/>
      <c r="L21" s="22"/>
      <c r="M21" s="22"/>
      <c r="N21" s="22"/>
      <c r="O21" s="22"/>
      <c r="P21" s="22"/>
      <c r="Q21" s="22"/>
      <c r="R21" s="22"/>
      <c r="S21" s="22"/>
      <c r="T21" s="22"/>
      <c r="U21" s="22"/>
      <c r="V21" s="22"/>
      <c r="W21" s="22"/>
      <c r="X21" s="22"/>
    </row>
    <row r="22" spans="1:24" x14ac:dyDescent="0.2">
      <c r="A22" s="29" t="s">
        <v>126</v>
      </c>
      <c r="B22" s="22"/>
      <c r="C22" s="22"/>
      <c r="D22" s="22"/>
      <c r="E22" s="22"/>
      <c r="F22" s="22"/>
      <c r="G22" s="22"/>
      <c r="H22" s="22"/>
      <c r="I22" s="22"/>
      <c r="J22" s="22"/>
      <c r="K22" s="22"/>
      <c r="L22" s="22"/>
      <c r="M22" s="22"/>
      <c r="N22" s="22"/>
      <c r="O22" s="22"/>
      <c r="P22" s="22"/>
      <c r="Q22" s="22"/>
      <c r="R22" s="22"/>
      <c r="S22" s="22"/>
      <c r="T22" s="22"/>
      <c r="U22" s="22"/>
      <c r="V22" s="22"/>
      <c r="W22" s="22"/>
      <c r="X22" s="22"/>
    </row>
    <row r="23" spans="1:24" x14ac:dyDescent="0.2">
      <c r="A23" s="29" t="s">
        <v>141</v>
      </c>
      <c r="B23" s="22"/>
      <c r="C23" s="22"/>
      <c r="D23" s="22"/>
      <c r="E23" s="22"/>
      <c r="F23" s="22"/>
      <c r="G23" s="22"/>
      <c r="H23" s="22"/>
      <c r="I23" s="22"/>
      <c r="J23" s="22"/>
      <c r="K23" s="22"/>
      <c r="L23" s="22"/>
      <c r="M23" s="22"/>
      <c r="N23" s="22"/>
      <c r="O23" s="22"/>
      <c r="P23" s="22"/>
      <c r="Q23" s="22"/>
      <c r="R23" s="22"/>
      <c r="S23" s="22"/>
      <c r="T23" s="22"/>
      <c r="U23" s="22"/>
      <c r="V23" s="22"/>
      <c r="W23" s="22"/>
      <c r="X23" s="22"/>
    </row>
    <row r="24" spans="1:24" x14ac:dyDescent="0.2">
      <c r="A24" s="22"/>
      <c r="B24" s="22"/>
      <c r="C24" s="22"/>
      <c r="D24" s="22"/>
      <c r="E24" s="22"/>
      <c r="F24" s="22"/>
      <c r="G24" s="22">
        <f>IF(NM005A!E40="Yes",1,2)</f>
        <v>2</v>
      </c>
      <c r="H24" s="22"/>
      <c r="I24" s="22"/>
      <c r="J24" s="22"/>
      <c r="K24" s="22"/>
      <c r="L24" s="22"/>
      <c r="M24" s="22"/>
      <c r="N24" s="22"/>
      <c r="O24" s="22"/>
      <c r="P24" s="22"/>
      <c r="Q24" s="22"/>
      <c r="R24" s="22"/>
      <c r="S24" s="22"/>
      <c r="T24" s="22"/>
      <c r="U24" s="22"/>
      <c r="V24" s="22"/>
      <c r="W24" s="22"/>
      <c r="X24" s="22"/>
    </row>
    <row r="25" spans="1:24" x14ac:dyDescent="0.2">
      <c r="A25" s="30" t="s">
        <v>122</v>
      </c>
      <c r="B25" s="22"/>
      <c r="C25" s="22">
        <v>0.6</v>
      </c>
      <c r="D25" s="22">
        <v>1</v>
      </c>
      <c r="E25" s="22"/>
      <c r="F25" s="22"/>
      <c r="G25" s="22">
        <f>IF(NM005A!H40="Yes",1,2)</f>
        <v>2</v>
      </c>
      <c r="H25" s="22"/>
      <c r="I25" s="22"/>
      <c r="J25" s="22"/>
      <c r="K25" s="22"/>
      <c r="L25" s="22"/>
      <c r="M25" s="22"/>
      <c r="N25" s="22"/>
      <c r="O25" s="22"/>
      <c r="P25" s="22"/>
      <c r="Q25" s="22"/>
      <c r="R25" s="22"/>
      <c r="S25" s="22"/>
      <c r="T25" s="22"/>
      <c r="U25" s="22"/>
      <c r="V25" s="22"/>
      <c r="W25" s="22"/>
      <c r="X25" s="22"/>
    </row>
    <row r="26" spans="1:24" x14ac:dyDescent="0.2">
      <c r="A26" s="30" t="s">
        <v>127</v>
      </c>
      <c r="B26" s="22"/>
      <c r="C26" s="28">
        <f>0.1*A40</f>
        <v>2.1</v>
      </c>
      <c r="D26" s="22">
        <v>2</v>
      </c>
      <c r="E26" s="22"/>
      <c r="F26" s="22"/>
      <c r="G26" s="22">
        <f>IF(NM005A!K40="Yes",1,2)</f>
        <v>2</v>
      </c>
      <c r="H26" s="22"/>
      <c r="I26" s="22"/>
      <c r="J26" s="22"/>
      <c r="K26" s="22"/>
      <c r="L26" s="22"/>
      <c r="M26" s="22"/>
      <c r="N26" s="22"/>
      <c r="O26" s="22"/>
      <c r="P26" s="22"/>
      <c r="Q26" s="22"/>
      <c r="R26" s="22"/>
      <c r="S26" s="22"/>
      <c r="T26" s="22"/>
      <c r="U26" s="22"/>
      <c r="V26" s="22"/>
      <c r="W26" s="22"/>
      <c r="X26" s="22"/>
    </row>
    <row r="27" spans="1:24" x14ac:dyDescent="0.2">
      <c r="A27" s="30" t="s">
        <v>123</v>
      </c>
      <c r="B27" s="22"/>
      <c r="C27" s="28">
        <f>0.1*A40</f>
        <v>2.1</v>
      </c>
      <c r="D27" s="22">
        <v>3</v>
      </c>
      <c r="E27" s="22"/>
      <c r="F27" s="22"/>
      <c r="G27" s="22">
        <f>SUM(G24:G26)</f>
        <v>6</v>
      </c>
      <c r="H27" s="22"/>
      <c r="I27" s="22"/>
      <c r="J27" s="22"/>
      <c r="K27" s="22"/>
      <c r="L27" s="22"/>
      <c r="M27" s="22"/>
      <c r="N27" s="22"/>
      <c r="O27" s="22"/>
      <c r="P27" s="22"/>
      <c r="Q27" s="22"/>
      <c r="R27" s="22"/>
      <c r="S27" s="22"/>
      <c r="T27" s="22"/>
      <c r="U27" s="22"/>
      <c r="V27" s="22"/>
      <c r="W27" s="22"/>
      <c r="X27" s="22"/>
    </row>
    <row r="28" spans="1:24" x14ac:dyDescent="0.2">
      <c r="A28" s="30" t="s">
        <v>124</v>
      </c>
      <c r="B28" s="22"/>
      <c r="C28" s="28">
        <f>0.2*A40</f>
        <v>4.2</v>
      </c>
      <c r="D28" s="22">
        <v>4</v>
      </c>
      <c r="E28" s="22"/>
      <c r="F28" s="22"/>
      <c r="G28" s="22"/>
      <c r="H28" s="22"/>
      <c r="I28" s="22"/>
      <c r="J28" s="22"/>
      <c r="K28" s="22"/>
      <c r="L28" s="22"/>
      <c r="M28" s="22"/>
      <c r="N28" s="22"/>
      <c r="O28" s="22"/>
      <c r="P28" s="22"/>
      <c r="Q28" s="22"/>
      <c r="R28" s="22"/>
      <c r="S28" s="22"/>
      <c r="T28" s="22"/>
      <c r="U28" s="22"/>
      <c r="V28" s="22"/>
      <c r="W28" s="22"/>
      <c r="X28" s="22"/>
    </row>
    <row r="29" spans="1:24" x14ac:dyDescent="0.2">
      <c r="A29" s="30" t="s">
        <v>125</v>
      </c>
      <c r="B29" s="22"/>
      <c r="C29" s="28">
        <v>50</v>
      </c>
      <c r="D29" s="22">
        <v>5</v>
      </c>
      <c r="E29" s="22"/>
      <c r="F29" s="22"/>
      <c r="G29" s="22"/>
      <c r="H29" s="22"/>
      <c r="I29" s="22"/>
      <c r="J29" s="22"/>
      <c r="K29" s="22"/>
      <c r="L29" s="22"/>
      <c r="M29" s="22"/>
      <c r="N29" s="22"/>
      <c r="O29" s="22"/>
      <c r="P29" s="22"/>
      <c r="Q29" s="22"/>
      <c r="R29" s="22"/>
      <c r="S29" s="22"/>
      <c r="T29" s="22"/>
      <c r="U29" s="22"/>
      <c r="V29" s="22"/>
      <c r="W29" s="22"/>
      <c r="X29" s="22"/>
    </row>
    <row r="30" spans="1:24" x14ac:dyDescent="0.2">
      <c r="A30" s="30" t="s">
        <v>126</v>
      </c>
      <c r="B30" s="22"/>
      <c r="C30" s="28">
        <f>3.5-NM005A!J27</f>
        <v>2.3335999999999997</v>
      </c>
      <c r="D30" s="22">
        <v>6</v>
      </c>
      <c r="E30" s="22"/>
      <c r="F30" s="22"/>
      <c r="G30" s="22"/>
      <c r="H30" s="22"/>
      <c r="I30" s="22"/>
      <c r="J30" s="22"/>
      <c r="K30" s="22"/>
      <c r="L30" s="22"/>
      <c r="M30" s="22"/>
      <c r="N30" s="22"/>
      <c r="O30" s="22"/>
      <c r="P30" s="22"/>
      <c r="Q30" s="22"/>
      <c r="R30" s="22"/>
      <c r="S30" s="22"/>
      <c r="T30" s="22"/>
      <c r="U30" s="22"/>
      <c r="V30" s="22"/>
      <c r="W30" s="22"/>
      <c r="X30" s="22"/>
    </row>
    <row r="31" spans="1:24" x14ac:dyDescent="0.2">
      <c r="A31" s="30" t="s">
        <v>141</v>
      </c>
      <c r="B31" s="22"/>
      <c r="C31" s="28">
        <f>4-NM005A!J27</f>
        <v>2.8335999999999997</v>
      </c>
      <c r="D31" s="22">
        <v>7</v>
      </c>
      <c r="E31" s="22"/>
      <c r="F31" s="22"/>
      <c r="G31" s="22"/>
      <c r="H31" s="22"/>
      <c r="I31" s="22"/>
      <c r="J31" s="22"/>
      <c r="K31" s="22"/>
      <c r="L31" s="22"/>
      <c r="M31" s="22"/>
      <c r="N31" s="22"/>
      <c r="O31" s="22"/>
      <c r="P31" s="22"/>
      <c r="Q31" s="22"/>
      <c r="R31" s="22"/>
      <c r="S31" s="22"/>
      <c r="T31" s="22"/>
      <c r="U31" s="22"/>
      <c r="V31" s="22"/>
      <c r="W31" s="22"/>
      <c r="X31" s="22"/>
    </row>
    <row r="32" spans="1:24" x14ac:dyDescent="0.2">
      <c r="A32" s="30" t="s">
        <v>129</v>
      </c>
      <c r="B32" s="22"/>
      <c r="C32" s="22">
        <f>NM005A!L37</f>
        <v>0</v>
      </c>
      <c r="D32" s="22">
        <v>8</v>
      </c>
      <c r="E32" s="22"/>
      <c r="F32" s="22"/>
      <c r="G32" s="22"/>
      <c r="H32" s="22"/>
      <c r="I32" s="22"/>
      <c r="J32" s="22"/>
      <c r="K32" s="22"/>
      <c r="L32" s="22"/>
      <c r="M32" s="22"/>
      <c r="N32" s="22"/>
      <c r="O32" s="22"/>
      <c r="P32" s="22"/>
      <c r="Q32" s="22"/>
      <c r="R32" s="22"/>
      <c r="S32" s="22"/>
      <c r="T32" s="22"/>
      <c r="U32" s="22"/>
      <c r="V32" s="22"/>
      <c r="W32" s="22"/>
      <c r="X32" s="22"/>
    </row>
    <row r="33" spans="1:24" x14ac:dyDescent="0.2">
      <c r="A33" s="28"/>
      <c r="B33" s="22"/>
      <c r="C33" s="22"/>
      <c r="D33" s="22"/>
      <c r="E33" s="22"/>
      <c r="F33" s="22"/>
      <c r="G33" s="22"/>
      <c r="H33" s="22"/>
      <c r="I33" s="22"/>
      <c r="J33" s="22"/>
      <c r="K33" s="22"/>
      <c r="L33" s="22"/>
      <c r="M33" s="22"/>
      <c r="N33" s="22"/>
      <c r="O33" s="22"/>
      <c r="P33" s="22"/>
      <c r="Q33" s="22"/>
      <c r="R33" s="22"/>
      <c r="S33" s="22"/>
      <c r="T33" s="22"/>
      <c r="U33" s="22"/>
      <c r="V33" s="22"/>
      <c r="W33" s="22"/>
      <c r="X33" s="22"/>
    </row>
    <row r="34" spans="1:24" x14ac:dyDescent="0.2">
      <c r="A34" s="28"/>
      <c r="B34" s="22"/>
      <c r="C34" s="22"/>
      <c r="D34" s="22"/>
      <c r="E34" s="22"/>
      <c r="F34" s="22"/>
      <c r="G34" s="28">
        <f>NM005A!O14</f>
        <v>0</v>
      </c>
      <c r="H34" s="22"/>
      <c r="I34" s="22"/>
      <c r="J34" s="22"/>
      <c r="K34" s="22"/>
      <c r="L34" s="22"/>
      <c r="M34" s="22"/>
      <c r="N34" s="22"/>
      <c r="O34" s="22"/>
      <c r="P34" s="22"/>
      <c r="Q34" s="22"/>
      <c r="R34" s="22"/>
      <c r="S34" s="22"/>
      <c r="T34" s="22"/>
      <c r="U34" s="22"/>
      <c r="V34" s="22"/>
      <c r="W34" s="22"/>
      <c r="X34" s="22"/>
    </row>
    <row r="35" spans="1:24" x14ac:dyDescent="0.2">
      <c r="A35" s="22"/>
      <c r="B35" s="22"/>
      <c r="C35" s="22"/>
      <c r="D35" s="22"/>
      <c r="E35" s="22"/>
      <c r="F35" s="22"/>
      <c r="G35" s="22"/>
      <c r="H35" s="22"/>
      <c r="I35" s="22"/>
      <c r="J35" s="22"/>
      <c r="K35" s="22"/>
      <c r="L35" s="22"/>
      <c r="M35" s="22"/>
      <c r="N35" s="22"/>
      <c r="O35" s="22"/>
      <c r="P35" s="22"/>
      <c r="Q35" s="22"/>
      <c r="R35" s="22"/>
      <c r="S35" s="22"/>
      <c r="T35" s="22"/>
      <c r="U35" s="22"/>
      <c r="V35" s="22"/>
      <c r="W35" s="22"/>
      <c r="X35" s="22"/>
    </row>
    <row r="36" spans="1:24" x14ac:dyDescent="0.2">
      <c r="A36" s="22" t="e">
        <f>IF(NM005A!O38, NM005A!O36)</f>
        <v>#VALUE!</v>
      </c>
      <c r="B36" s="22"/>
      <c r="C36" s="22"/>
      <c r="D36" s="22"/>
      <c r="E36" s="22"/>
      <c r="F36" s="22">
        <v>1</v>
      </c>
      <c r="G36" s="27">
        <f>NM005A!E67</f>
        <v>0.51</v>
      </c>
      <c r="H36" s="22"/>
      <c r="I36" s="27">
        <f>_xlfn.FORECAST.LINEAR(G34,G36:G49,F36:F49)</f>
        <v>0.1701098901098903</v>
      </c>
      <c r="J36" s="22"/>
      <c r="K36" s="22"/>
      <c r="L36" s="22"/>
      <c r="M36" s="22"/>
      <c r="N36" s="22"/>
      <c r="O36" s="22"/>
      <c r="P36" s="22"/>
      <c r="Q36" s="22"/>
      <c r="R36" s="22"/>
      <c r="S36" s="22"/>
      <c r="T36" s="22"/>
      <c r="U36" s="22"/>
      <c r="V36" s="22"/>
      <c r="W36" s="22"/>
      <c r="X36" s="22"/>
    </row>
    <row r="37" spans="1:24" x14ac:dyDescent="0.2">
      <c r="A37" s="22"/>
      <c r="B37" s="22"/>
      <c r="C37" s="22"/>
      <c r="D37" s="22"/>
      <c r="E37" s="22"/>
      <c r="F37" s="22">
        <v>2</v>
      </c>
      <c r="G37" s="27">
        <f>NM005A!F67</f>
        <v>1.01</v>
      </c>
      <c r="H37" s="22"/>
      <c r="I37" s="22"/>
      <c r="J37" s="22"/>
      <c r="K37" s="22"/>
      <c r="L37" s="22"/>
      <c r="M37" s="22"/>
      <c r="N37" s="22"/>
      <c r="O37" s="22"/>
      <c r="P37" s="22"/>
      <c r="Q37" s="22"/>
      <c r="R37" s="22"/>
      <c r="S37" s="22"/>
      <c r="T37" s="22"/>
      <c r="U37" s="22"/>
      <c r="V37" s="22"/>
      <c r="W37" s="22"/>
      <c r="X37" s="22"/>
    </row>
    <row r="38" spans="1:24" x14ac:dyDescent="0.2">
      <c r="A38" s="22" t="str">
        <f>NM005A!O38</f>
        <v>Singapore Strait</v>
      </c>
      <c r="B38" s="22"/>
      <c r="C38" s="22"/>
      <c r="D38" s="22"/>
      <c r="E38" s="22"/>
      <c r="F38" s="22">
        <v>3</v>
      </c>
      <c r="G38" s="27">
        <f>NM005A!G67</f>
        <v>1.52</v>
      </c>
      <c r="H38" s="22"/>
      <c r="I38" s="22"/>
      <c r="J38" s="22"/>
      <c r="K38" s="22"/>
      <c r="L38" s="22"/>
      <c r="M38" s="22"/>
      <c r="N38" s="22"/>
      <c r="O38" s="22"/>
      <c r="P38" s="22"/>
      <c r="Q38" s="22"/>
      <c r="R38" s="22"/>
      <c r="S38" s="22"/>
      <c r="T38" s="22"/>
      <c r="U38" s="22"/>
      <c r="V38" s="22"/>
      <c r="W38" s="22"/>
      <c r="X38" s="22"/>
    </row>
    <row r="39" spans="1:24" x14ac:dyDescent="0.2">
      <c r="A39" s="22">
        <f>IF(A38="Port Limits",C25,IF(A38="Anchorage or SBM or CBM",C26,IF(A38="Approaches to Port",C27,IF(A38="Open Coastal",C28,IF(A38="Ocean",C29,IF(A38="Singapore Strait",C30,IF(A38="Eastern Banks",C31,IF(A38="Charterer's or Port requirement (if more stringent than owner's)",C32))))))))</f>
        <v>2.3335999999999997</v>
      </c>
      <c r="B39" s="22"/>
      <c r="C39" s="22"/>
      <c r="D39" s="22"/>
      <c r="E39" s="22"/>
      <c r="F39" s="22">
        <v>4</v>
      </c>
      <c r="G39" s="27">
        <f>NM005A!H67</f>
        <v>2.02</v>
      </c>
      <c r="H39" s="22"/>
      <c r="I39" s="22"/>
      <c r="J39" s="22"/>
      <c r="K39" s="22"/>
      <c r="L39" s="22"/>
      <c r="M39" s="22"/>
      <c r="N39" s="22"/>
      <c r="O39" s="22"/>
      <c r="P39" s="22"/>
      <c r="Q39" s="22"/>
      <c r="R39" s="22"/>
      <c r="S39" s="22"/>
      <c r="T39" s="22"/>
      <c r="U39" s="22"/>
      <c r="V39" s="22"/>
      <c r="W39" s="22"/>
      <c r="X39" s="22"/>
    </row>
    <row r="40" spans="1:24" x14ac:dyDescent="0.2">
      <c r="A40" s="22">
        <f>NM005A!J24</f>
        <v>21</v>
      </c>
      <c r="B40" s="22"/>
      <c r="C40" s="22"/>
      <c r="D40" s="22"/>
      <c r="E40" s="22"/>
      <c r="F40" s="22">
        <v>5</v>
      </c>
      <c r="G40" s="27">
        <f>NM005A!I67</f>
        <v>2.5299999999999998</v>
      </c>
      <c r="H40" s="22"/>
      <c r="I40" s="22"/>
      <c r="J40" s="22"/>
      <c r="K40" s="22"/>
      <c r="L40" s="22"/>
      <c r="M40" s="22"/>
      <c r="N40" s="22"/>
      <c r="O40" s="22"/>
      <c r="P40" s="22"/>
      <c r="Q40" s="22"/>
      <c r="R40" s="22"/>
      <c r="S40" s="22"/>
      <c r="T40" s="22"/>
      <c r="U40" s="22"/>
      <c r="V40" s="22"/>
      <c r="W40" s="22"/>
      <c r="X40" s="22"/>
    </row>
    <row r="41" spans="1:24" x14ac:dyDescent="0.2">
      <c r="A41" s="22"/>
      <c r="B41" s="22"/>
      <c r="C41" s="22"/>
      <c r="D41" s="22"/>
      <c r="E41" s="22"/>
      <c r="F41" s="22">
        <v>6</v>
      </c>
      <c r="G41" s="27">
        <f>NM005A!J67</f>
        <v>3.03</v>
      </c>
      <c r="H41" s="22"/>
      <c r="I41" s="22"/>
      <c r="J41" s="22"/>
      <c r="K41" s="22"/>
      <c r="L41" s="22"/>
      <c r="M41" s="22"/>
      <c r="N41" s="22"/>
      <c r="O41" s="22"/>
      <c r="P41" s="22"/>
      <c r="Q41" s="22"/>
      <c r="R41" s="22"/>
      <c r="S41" s="22"/>
      <c r="T41" s="22"/>
      <c r="U41" s="22"/>
      <c r="V41" s="22"/>
      <c r="W41" s="22"/>
      <c r="X41" s="22"/>
    </row>
    <row r="42" spans="1:24" x14ac:dyDescent="0.2">
      <c r="A42" s="22"/>
      <c r="B42" s="22"/>
      <c r="C42" s="22"/>
      <c r="D42" s="22"/>
      <c r="E42" s="22"/>
      <c r="F42" s="22">
        <v>7</v>
      </c>
      <c r="G42" s="27">
        <f>NM005A!K67</f>
        <v>3.53</v>
      </c>
      <c r="H42" s="22"/>
      <c r="I42" s="22"/>
      <c r="J42" s="22"/>
      <c r="K42" s="22"/>
      <c r="L42" s="22"/>
      <c r="M42" s="22"/>
      <c r="N42" s="22"/>
      <c r="O42" s="22"/>
      <c r="P42" s="22"/>
      <c r="Q42" s="22"/>
      <c r="R42" s="22"/>
      <c r="S42" s="22"/>
      <c r="T42" s="22"/>
      <c r="U42" s="22"/>
      <c r="V42" s="22"/>
      <c r="W42" s="22"/>
      <c r="X42" s="22"/>
    </row>
    <row r="43" spans="1:24" x14ac:dyDescent="0.2">
      <c r="A43" s="22"/>
      <c r="B43" s="22"/>
      <c r="C43" s="22"/>
      <c r="D43" s="22"/>
      <c r="E43" s="22"/>
      <c r="F43" s="22">
        <v>8</v>
      </c>
      <c r="G43" s="27">
        <f>NM005A!K67</f>
        <v>3.53</v>
      </c>
      <c r="H43" s="22"/>
      <c r="I43" s="22"/>
      <c r="J43" s="263" t="e">
        <f>IF(G34="0","0",(LOOKUP(G34,F36:F49,G36:G49)))</f>
        <v>#N/A</v>
      </c>
      <c r="K43" s="264"/>
      <c r="L43" s="22"/>
      <c r="M43" s="22"/>
      <c r="N43" s="22"/>
      <c r="O43" s="22"/>
      <c r="P43" s="22"/>
      <c r="Q43" s="22"/>
      <c r="R43" s="22"/>
      <c r="S43" s="22"/>
      <c r="T43" s="22"/>
      <c r="U43" s="22"/>
      <c r="V43" s="22"/>
      <c r="W43" s="22"/>
      <c r="X43" s="22"/>
    </row>
    <row r="44" spans="1:24" x14ac:dyDescent="0.2">
      <c r="F44" s="22">
        <v>9</v>
      </c>
      <c r="G44" s="27">
        <f>NM005A!L67</f>
        <v>4.04</v>
      </c>
    </row>
    <row r="45" spans="1:24" x14ac:dyDescent="0.2">
      <c r="F45" s="22">
        <v>10</v>
      </c>
      <c r="G45" s="27">
        <f>NM005A!M67</f>
        <v>4.54</v>
      </c>
    </row>
    <row r="46" spans="1:24" x14ac:dyDescent="0.2">
      <c r="F46" s="22">
        <v>11</v>
      </c>
      <c r="G46" s="27">
        <f>NM005A!N67</f>
        <v>5.04</v>
      </c>
      <c r="J46" s="4" cm="1">
        <f t="array" ref="J46:J59">IF(G34=F36:F49,I47,I36)</f>
        <v>0.1701098901098903</v>
      </c>
      <c r="L46" s="4">
        <f>IF(I47=J47,J47,I47)</f>
        <v>0.1701098901098903</v>
      </c>
    </row>
    <row r="47" spans="1:24" x14ac:dyDescent="0.2">
      <c r="F47" s="22">
        <v>12</v>
      </c>
      <c r="G47" s="27">
        <f>NM005A!O67</f>
        <v>5.53</v>
      </c>
      <c r="I47" s="4">
        <f>IF(OR(G34=F36,G34=F37,G34=F38,G34=F39,G34=F40,G34=F41,G34=F42,G34=F43,G34=F44,G34=F45,G34=F46,G34=F47,G34=F48,G34=F49),J43,I36)</f>
        <v>0.1701098901098903</v>
      </c>
      <c r="J47" s="4">
        <v>0.1701098901098903</v>
      </c>
    </row>
    <row r="48" spans="1:24" x14ac:dyDescent="0.2">
      <c r="F48" s="22">
        <v>13</v>
      </c>
      <c r="G48" s="27">
        <f>NM005A!P67</f>
        <v>6.03</v>
      </c>
      <c r="J48" s="4">
        <v>0.1701098901098903</v>
      </c>
    </row>
    <row r="49" spans="6:10" x14ac:dyDescent="0.2">
      <c r="F49" s="22">
        <v>14</v>
      </c>
      <c r="G49" s="27">
        <f>NM005A!Q67</f>
        <v>6.52</v>
      </c>
      <c r="J49" s="4">
        <v>0.1701098901098903</v>
      </c>
    </row>
    <row r="50" spans="6:10" x14ac:dyDescent="0.2">
      <c r="F50" s="22"/>
      <c r="J50" s="4">
        <v>0.1701098901098903</v>
      </c>
    </row>
    <row r="51" spans="6:10" x14ac:dyDescent="0.2">
      <c r="F51" s="22"/>
      <c r="J51" s="4">
        <v>0.1701098901098903</v>
      </c>
    </row>
    <row r="52" spans="6:10" x14ac:dyDescent="0.2">
      <c r="J52" s="4">
        <v>0.1701098901098903</v>
      </c>
    </row>
    <row r="53" spans="6:10" x14ac:dyDescent="0.2">
      <c r="J53" s="4">
        <v>0.1701098901098903</v>
      </c>
    </row>
    <row r="54" spans="6:10" x14ac:dyDescent="0.2">
      <c r="J54" s="4">
        <v>0.1701098901098903</v>
      </c>
    </row>
    <row r="55" spans="6:10" x14ac:dyDescent="0.2">
      <c r="J55" s="4">
        <v>0.1701098901098903</v>
      </c>
    </row>
    <row r="56" spans="6:10" x14ac:dyDescent="0.2">
      <c r="J56" s="4">
        <v>0.1701098901098903</v>
      </c>
    </row>
    <row r="57" spans="6:10" x14ac:dyDescent="0.2">
      <c r="J57" s="4">
        <v>0.1701098901098903</v>
      </c>
    </row>
    <row r="58" spans="6:10" x14ac:dyDescent="0.2">
      <c r="J58" s="4">
        <v>0.1701098901098903</v>
      </c>
    </row>
    <row r="59" spans="6:10" x14ac:dyDescent="0.2">
      <c r="J59" s="4">
        <v>0.1701098901098903</v>
      </c>
    </row>
  </sheetData>
  <mergeCells count="1">
    <mergeCell ref="J43:K43"/>
  </mergeCells>
  <phoneticPr fontId="10" type="noConversion"/>
  <dataValidations count="1">
    <dataValidation type="list" allowBlank="1" showInputMessage="1" showErrorMessage="1" sqref="D4" xr:uid="{00000000-0002-0000-0200-000000000000}">
      <formula1>$O$1:$O$2</formula1>
    </dataValidation>
  </dataValidation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65"/>
  <sheetViews>
    <sheetView workbookViewId="0">
      <selection activeCell="G28" sqref="G28"/>
    </sheetView>
  </sheetViews>
  <sheetFormatPr defaultRowHeight="12.75" x14ac:dyDescent="0.2"/>
  <sheetData>
    <row r="1" spans="1:13" x14ac:dyDescent="0.2">
      <c r="A1" t="s">
        <v>37</v>
      </c>
      <c r="E1" t="s">
        <v>40</v>
      </c>
      <c r="F1" t="s">
        <v>41</v>
      </c>
      <c r="H1" s="1">
        <f>Data!D1</f>
        <v>58</v>
      </c>
      <c r="M1" s="1"/>
    </row>
    <row r="2" spans="1:13" x14ac:dyDescent="0.2">
      <c r="E2" t="s">
        <v>42</v>
      </c>
      <c r="F2" t="s">
        <v>43</v>
      </c>
      <c r="H2" s="1">
        <f>NM005A!J24</f>
        <v>21</v>
      </c>
      <c r="M2" s="1"/>
    </row>
    <row r="3" spans="1:13" x14ac:dyDescent="0.2">
      <c r="A3" t="s">
        <v>38</v>
      </c>
      <c r="B3" t="s">
        <v>39</v>
      </c>
      <c r="E3" t="s">
        <v>44</v>
      </c>
      <c r="F3" t="s">
        <v>45</v>
      </c>
      <c r="H3" s="1">
        <f>Data!D2</f>
        <v>2000</v>
      </c>
    </row>
    <row r="4" spans="1:13" x14ac:dyDescent="0.2">
      <c r="E4" t="s">
        <v>46</v>
      </c>
      <c r="F4" t="s">
        <v>47</v>
      </c>
      <c r="H4" s="1">
        <f>NM005A!J21</f>
        <v>24.5</v>
      </c>
    </row>
    <row r="5" spans="1:13" x14ac:dyDescent="0.2">
      <c r="H5" s="1"/>
    </row>
    <row r="6" spans="1:13" x14ac:dyDescent="0.2">
      <c r="A6" t="s">
        <v>38</v>
      </c>
      <c r="B6" s="2">
        <f>(H1*H2)/(H3*H4)</f>
        <v>2.4857142857142855E-2</v>
      </c>
      <c r="D6" t="s">
        <v>49</v>
      </c>
    </row>
    <row r="8" spans="1:13" x14ac:dyDescent="0.2">
      <c r="A8" t="s">
        <v>48</v>
      </c>
      <c r="B8" s="2">
        <f>H4/H2</f>
        <v>1.1666666666666667</v>
      </c>
      <c r="D8" t="s">
        <v>50</v>
      </c>
    </row>
    <row r="10" spans="1:13" x14ac:dyDescent="0.2">
      <c r="A10" s="3" t="s">
        <v>56</v>
      </c>
      <c r="H10" t="e">
        <f>LOOKUP(Data!D3,NM005A!E66:R66,NM005A!E67:R67)</f>
        <v>#N/A</v>
      </c>
    </row>
    <row r="11" spans="1:13" x14ac:dyDescent="0.2">
      <c r="H11">
        <v>0</v>
      </c>
    </row>
    <row r="12" spans="1:13" x14ac:dyDescent="0.2">
      <c r="H12" t="s">
        <v>77</v>
      </c>
    </row>
    <row r="13" spans="1:13" x14ac:dyDescent="0.2">
      <c r="A13" t="s">
        <v>51</v>
      </c>
      <c r="B13" s="1">
        <f>NM005A!Q27</f>
        <v>12</v>
      </c>
      <c r="H13" t="s">
        <v>78</v>
      </c>
    </row>
    <row r="15" spans="1:13" x14ac:dyDescent="0.2">
      <c r="A15" t="s">
        <v>52</v>
      </c>
      <c r="B15">
        <f>((B13*B13)*J15)/50</f>
        <v>2.3328000000000002</v>
      </c>
      <c r="H15" t="s">
        <v>84</v>
      </c>
      <c r="J15">
        <f>LOOKUP(NM005A!J24,NM005A!D48:R48,NM005A!D49:R49)</f>
        <v>0.81</v>
      </c>
    </row>
    <row r="17" spans="1:3" x14ac:dyDescent="0.2">
      <c r="A17" t="s">
        <v>53</v>
      </c>
      <c r="B17">
        <f>((B13*B13)*J15)/100</f>
        <v>1.1664000000000001</v>
      </c>
    </row>
    <row r="19" spans="1:3" x14ac:dyDescent="0.2">
      <c r="A19" t="s">
        <v>54</v>
      </c>
      <c r="B19">
        <f>H4-(H2+B15)</f>
        <v>1.1672000000000011</v>
      </c>
    </row>
    <row r="21" spans="1:3" x14ac:dyDescent="0.2">
      <c r="A21" t="s">
        <v>55</v>
      </c>
      <c r="B21">
        <f>H4-(H2+B17)</f>
        <v>2.3336000000000006</v>
      </c>
    </row>
    <row r="23" spans="1:3" x14ac:dyDescent="0.2">
      <c r="A23" s="3" t="s">
        <v>57</v>
      </c>
    </row>
    <row r="25" spans="1:3" x14ac:dyDescent="0.2">
      <c r="A25" t="s">
        <v>60</v>
      </c>
      <c r="C25" s="1" t="str">
        <f>NM005A!L43</f>
        <v>Compliant</v>
      </c>
    </row>
    <row r="26" spans="1:3" x14ac:dyDescent="0.2">
      <c r="A26" t="s">
        <v>61</v>
      </c>
      <c r="C26" s="1" t="e">
        <f>(H4-H2-C25-NM005A!J25-NM005A!J26)</f>
        <v>#VALUE!</v>
      </c>
    </row>
    <row r="27" spans="1:3" x14ac:dyDescent="0.2">
      <c r="C27" s="1"/>
    </row>
    <row r="30" spans="1:3" x14ac:dyDescent="0.2">
      <c r="A30" t="s">
        <v>58</v>
      </c>
      <c r="B30" s="4" t="e">
        <f>SQRT((C26*50)/J15)</f>
        <v>#VALUE!</v>
      </c>
    </row>
    <row r="31" spans="1:3" x14ac:dyDescent="0.2">
      <c r="B31" s="4"/>
    </row>
    <row r="32" spans="1:3" x14ac:dyDescent="0.2">
      <c r="A32" t="s">
        <v>59</v>
      </c>
      <c r="B32" s="4" t="e">
        <f>SQRT((C26*100)/J15)</f>
        <v>#VALUE!</v>
      </c>
    </row>
    <row r="34" spans="1:17" x14ac:dyDescent="0.2">
      <c r="A34" s="8"/>
      <c r="B34" s="8"/>
      <c r="C34" s="8"/>
      <c r="D34" s="8"/>
      <c r="E34" s="8"/>
      <c r="F34" s="8"/>
      <c r="G34" s="8"/>
      <c r="H34" s="8"/>
      <c r="I34" s="8"/>
      <c r="J34" s="8"/>
      <c r="K34" s="8"/>
      <c r="L34" s="8"/>
      <c r="M34" s="8"/>
      <c r="N34" s="8"/>
      <c r="O34" s="8"/>
      <c r="P34" s="8"/>
      <c r="Q34" s="8"/>
    </row>
    <row r="35" spans="1:17" x14ac:dyDescent="0.2">
      <c r="A35" s="9"/>
      <c r="B35" s="9"/>
      <c r="C35" s="267"/>
      <c r="D35" s="267"/>
      <c r="E35" s="267"/>
      <c r="F35" s="267"/>
      <c r="G35" s="267"/>
      <c r="H35" s="267"/>
      <c r="I35" s="267"/>
      <c r="J35" s="267"/>
      <c r="K35" s="267"/>
      <c r="L35" s="267"/>
      <c r="M35" s="267"/>
      <c r="N35" s="267"/>
      <c r="O35" s="267"/>
      <c r="P35" s="267"/>
      <c r="Q35" s="267"/>
    </row>
    <row r="36" spans="1:17" x14ac:dyDescent="0.2">
      <c r="A36" s="268"/>
      <c r="B36" s="268"/>
      <c r="C36" s="10"/>
      <c r="D36" s="10"/>
      <c r="E36" s="10"/>
      <c r="F36" s="10"/>
      <c r="G36" s="10"/>
      <c r="H36" s="10"/>
      <c r="I36" s="10"/>
      <c r="J36" s="10"/>
      <c r="K36" s="10"/>
      <c r="L36" s="10"/>
      <c r="M36" s="10"/>
      <c r="N36" s="10"/>
      <c r="O36" s="10"/>
      <c r="P36" s="10"/>
      <c r="Q36" s="10"/>
    </row>
    <row r="37" spans="1:17" x14ac:dyDescent="0.2">
      <c r="A37" s="268"/>
      <c r="B37" s="268"/>
      <c r="C37" s="11"/>
      <c r="D37" s="11"/>
      <c r="E37" s="11"/>
      <c r="F37" s="11"/>
      <c r="G37" s="11"/>
      <c r="H37" s="11"/>
      <c r="I37" s="11"/>
      <c r="J37" s="11"/>
      <c r="K37" s="11"/>
      <c r="L37" s="11"/>
      <c r="M37" s="11"/>
      <c r="N37" s="11"/>
      <c r="O37" s="11"/>
      <c r="P37" s="11"/>
      <c r="Q37" s="11"/>
    </row>
    <row r="38" spans="1:17" x14ac:dyDescent="0.2">
      <c r="A38" s="269"/>
      <c r="B38" s="8"/>
      <c r="C38" s="12"/>
      <c r="D38" s="12"/>
      <c r="E38" s="12"/>
      <c r="F38" s="12"/>
      <c r="G38" s="12"/>
      <c r="H38" s="12"/>
      <c r="I38" s="12"/>
      <c r="J38" s="12"/>
      <c r="K38" s="12"/>
      <c r="L38" s="12"/>
      <c r="M38" s="12"/>
      <c r="N38" s="12"/>
      <c r="O38" s="12"/>
      <c r="P38" s="12"/>
      <c r="Q38" s="12"/>
    </row>
    <row r="39" spans="1:17" x14ac:dyDescent="0.2">
      <c r="A39" s="269"/>
      <c r="B39" s="8"/>
      <c r="C39" s="12"/>
      <c r="D39" s="12"/>
      <c r="E39" s="12"/>
      <c r="F39" s="12"/>
      <c r="G39" s="12"/>
      <c r="H39" s="12"/>
      <c r="I39" s="12"/>
      <c r="J39" s="12"/>
      <c r="K39" s="12"/>
      <c r="L39" s="12"/>
      <c r="M39" s="12"/>
      <c r="N39" s="12"/>
      <c r="O39" s="12"/>
      <c r="P39" s="12"/>
      <c r="Q39" s="12"/>
    </row>
    <row r="40" spans="1:17" x14ac:dyDescent="0.2">
      <c r="A40" s="269"/>
      <c r="B40" s="8"/>
      <c r="C40" s="12"/>
      <c r="D40" s="12"/>
      <c r="E40" s="12"/>
      <c r="F40" s="12"/>
      <c r="G40" s="12"/>
      <c r="H40" s="12"/>
      <c r="I40" s="12"/>
      <c r="J40" s="12"/>
      <c r="K40" s="12"/>
      <c r="L40" s="12"/>
      <c r="M40" s="12"/>
      <c r="N40" s="12"/>
      <c r="O40" s="12"/>
      <c r="P40" s="12"/>
      <c r="Q40" s="12"/>
    </row>
    <row r="41" spans="1:17" x14ac:dyDescent="0.2">
      <c r="A41" s="269"/>
      <c r="B41" s="8"/>
      <c r="C41" s="12"/>
      <c r="D41" s="12"/>
      <c r="E41" s="12"/>
      <c r="F41" s="12"/>
      <c r="G41" s="12"/>
      <c r="H41" s="12"/>
      <c r="I41" s="12"/>
      <c r="J41" s="12"/>
      <c r="K41" s="12"/>
      <c r="L41" s="12"/>
      <c r="M41" s="12"/>
      <c r="N41" s="12"/>
      <c r="O41" s="12"/>
      <c r="P41" s="12"/>
      <c r="Q41" s="12"/>
    </row>
    <row r="42" spans="1:17" x14ac:dyDescent="0.2">
      <c r="A42" s="269"/>
      <c r="B42" s="8"/>
      <c r="C42" s="12"/>
      <c r="D42" s="12"/>
      <c r="E42" s="12"/>
      <c r="F42" s="12"/>
      <c r="G42" s="12"/>
      <c r="H42" s="12"/>
      <c r="I42" s="12"/>
      <c r="J42" s="12"/>
      <c r="K42" s="12"/>
      <c r="L42" s="12"/>
      <c r="M42" s="12"/>
      <c r="N42" s="12"/>
      <c r="O42" s="12"/>
      <c r="P42" s="12"/>
      <c r="Q42" s="12"/>
    </row>
    <row r="43" spans="1:17" x14ac:dyDescent="0.2">
      <c r="A43" s="269"/>
      <c r="B43" s="8"/>
      <c r="C43" s="12"/>
      <c r="D43" s="12"/>
      <c r="E43" s="12"/>
      <c r="F43" s="12"/>
      <c r="G43" s="12"/>
      <c r="H43" s="12"/>
      <c r="I43" s="12"/>
      <c r="J43" s="12"/>
      <c r="K43" s="12"/>
      <c r="L43" s="12"/>
      <c r="M43" s="12"/>
      <c r="N43" s="12"/>
      <c r="O43" s="12"/>
      <c r="P43" s="12"/>
      <c r="Q43" s="12"/>
    </row>
    <row r="44" spans="1:17" x14ac:dyDescent="0.2">
      <c r="A44" s="269"/>
      <c r="B44" s="8"/>
      <c r="C44" s="12"/>
      <c r="D44" s="12"/>
      <c r="E44" s="12"/>
      <c r="F44" s="12"/>
      <c r="G44" s="12"/>
      <c r="H44" s="12"/>
      <c r="I44" s="12"/>
      <c r="J44" s="12"/>
      <c r="K44" s="12"/>
      <c r="L44" s="12"/>
      <c r="M44" s="12"/>
      <c r="N44" s="12"/>
      <c r="O44" s="12"/>
      <c r="P44" s="12"/>
      <c r="Q44" s="12"/>
    </row>
    <row r="45" spans="1:17" x14ac:dyDescent="0.2">
      <c r="A45" s="269"/>
      <c r="B45" s="8"/>
      <c r="C45" s="12"/>
      <c r="D45" s="12"/>
      <c r="E45" s="12"/>
      <c r="F45" s="12"/>
      <c r="G45" s="12"/>
      <c r="H45" s="12"/>
      <c r="I45" s="12"/>
      <c r="J45" s="12"/>
      <c r="K45" s="12"/>
      <c r="L45" s="12"/>
      <c r="M45" s="12"/>
      <c r="N45" s="12"/>
      <c r="O45" s="12"/>
      <c r="P45" s="12"/>
      <c r="Q45" s="12"/>
    </row>
    <row r="46" spans="1:17" x14ac:dyDescent="0.2">
      <c r="A46" s="269"/>
      <c r="B46" s="8"/>
      <c r="C46" s="12"/>
      <c r="D46" s="12"/>
      <c r="E46" s="12"/>
      <c r="F46" s="12"/>
      <c r="G46" s="12"/>
      <c r="H46" s="12"/>
      <c r="I46" s="12"/>
      <c r="J46" s="12"/>
      <c r="K46" s="12"/>
      <c r="L46" s="12"/>
      <c r="M46" s="12"/>
      <c r="N46" s="12"/>
      <c r="O46" s="12"/>
      <c r="P46" s="12"/>
      <c r="Q46" s="12"/>
    </row>
    <row r="47" spans="1:17" x14ac:dyDescent="0.2">
      <c r="A47" s="13"/>
      <c r="B47" s="13"/>
      <c r="C47" s="13"/>
      <c r="D47" s="13"/>
      <c r="E47" s="13"/>
      <c r="F47" s="13"/>
      <c r="G47" s="13"/>
      <c r="H47" s="13"/>
      <c r="I47" s="13"/>
      <c r="J47" s="13"/>
      <c r="K47" s="13"/>
      <c r="L47" s="13"/>
      <c r="M47" s="13"/>
      <c r="N47" s="13"/>
      <c r="O47" s="13"/>
      <c r="P47" s="13"/>
      <c r="Q47" s="13"/>
    </row>
    <row r="48" spans="1:17" x14ac:dyDescent="0.2">
      <c r="A48" s="13"/>
      <c r="B48" s="13"/>
      <c r="C48" s="13"/>
      <c r="D48" s="13"/>
      <c r="E48" s="13"/>
      <c r="F48" s="13"/>
      <c r="G48" s="13"/>
      <c r="H48" s="13"/>
      <c r="I48" s="13"/>
      <c r="J48" s="13"/>
      <c r="K48" s="13"/>
      <c r="L48" s="13"/>
      <c r="M48" s="13"/>
      <c r="N48" s="13"/>
      <c r="O48" s="13"/>
      <c r="P48" s="13"/>
      <c r="Q48" s="13"/>
    </row>
    <row r="49" spans="1:17" x14ac:dyDescent="0.2">
      <c r="A49" s="8"/>
      <c r="B49" s="8"/>
      <c r="C49" s="8"/>
      <c r="D49" s="8"/>
      <c r="E49" s="8"/>
      <c r="F49" s="8"/>
      <c r="G49" s="8"/>
      <c r="H49" s="8"/>
      <c r="I49" s="8"/>
      <c r="J49" s="8"/>
      <c r="K49" s="8"/>
      <c r="L49" s="8"/>
      <c r="M49" s="8"/>
      <c r="N49" s="8"/>
      <c r="O49" s="8"/>
      <c r="P49" s="8"/>
      <c r="Q49" s="8"/>
    </row>
    <row r="50" spans="1:17" x14ac:dyDescent="0.2">
      <c r="A50" s="9"/>
      <c r="B50" s="9"/>
      <c r="C50" s="267"/>
      <c r="D50" s="267"/>
      <c r="E50" s="267"/>
      <c r="F50" s="267"/>
      <c r="G50" s="267"/>
      <c r="H50" s="267"/>
      <c r="I50" s="267"/>
      <c r="J50" s="267"/>
      <c r="K50" s="267"/>
      <c r="L50" s="267"/>
      <c r="M50" s="267"/>
      <c r="N50" s="267"/>
      <c r="O50" s="267"/>
      <c r="P50" s="267"/>
      <c r="Q50" s="267"/>
    </row>
    <row r="51" spans="1:17" x14ac:dyDescent="0.2">
      <c r="A51" s="268"/>
      <c r="B51" s="268"/>
      <c r="C51" s="10"/>
      <c r="D51" s="10"/>
      <c r="E51" s="10"/>
      <c r="F51" s="10"/>
      <c r="G51" s="10"/>
      <c r="H51" s="10"/>
      <c r="I51" s="10"/>
      <c r="J51" s="10"/>
      <c r="K51" s="10"/>
      <c r="L51" s="10"/>
      <c r="M51" s="10"/>
      <c r="N51" s="10"/>
      <c r="O51" s="10"/>
      <c r="P51" s="10"/>
      <c r="Q51" s="10"/>
    </row>
    <row r="52" spans="1:17" x14ac:dyDescent="0.2">
      <c r="A52" s="268"/>
      <c r="B52" s="268"/>
      <c r="C52" s="11"/>
      <c r="D52" s="11"/>
      <c r="E52" s="11"/>
      <c r="F52" s="11"/>
      <c r="G52" s="11"/>
      <c r="H52" s="11"/>
      <c r="I52" s="11"/>
      <c r="J52" s="11"/>
      <c r="K52" s="11"/>
      <c r="L52" s="11"/>
      <c r="M52" s="11"/>
      <c r="N52" s="11"/>
      <c r="O52" s="11"/>
      <c r="P52" s="11"/>
      <c r="Q52" s="11"/>
    </row>
    <row r="53" spans="1:17" x14ac:dyDescent="0.2">
      <c r="A53" s="269"/>
      <c r="B53" s="8"/>
      <c r="C53" s="12"/>
      <c r="D53" s="12"/>
      <c r="E53" s="12"/>
      <c r="F53" s="12"/>
      <c r="G53" s="12"/>
      <c r="H53" s="12"/>
      <c r="I53" s="12"/>
      <c r="J53" s="12"/>
      <c r="K53" s="12"/>
      <c r="L53" s="12"/>
      <c r="M53" s="12"/>
      <c r="N53" s="12"/>
      <c r="O53" s="12"/>
      <c r="P53" s="12"/>
      <c r="Q53" s="12"/>
    </row>
    <row r="54" spans="1:17" x14ac:dyDescent="0.2">
      <c r="A54" s="269"/>
      <c r="B54" s="8"/>
      <c r="C54" s="12"/>
      <c r="D54" s="12"/>
      <c r="E54" s="12"/>
      <c r="F54" s="12"/>
      <c r="G54" s="12"/>
      <c r="H54" s="12"/>
      <c r="I54" s="12"/>
      <c r="J54" s="12"/>
      <c r="K54" s="12"/>
      <c r="L54" s="12"/>
      <c r="M54" s="12"/>
      <c r="N54" s="12"/>
      <c r="O54" s="12"/>
      <c r="P54" s="12"/>
      <c r="Q54" s="12"/>
    </row>
    <row r="55" spans="1:17" x14ac:dyDescent="0.2">
      <c r="A55" s="269"/>
      <c r="B55" s="8"/>
      <c r="C55" s="12"/>
      <c r="D55" s="12"/>
      <c r="E55" s="12"/>
      <c r="F55" s="12"/>
      <c r="G55" s="12"/>
      <c r="H55" s="12"/>
      <c r="I55" s="12"/>
      <c r="J55" s="12"/>
      <c r="K55" s="12"/>
      <c r="L55" s="12"/>
      <c r="M55" s="12"/>
      <c r="N55" s="12"/>
      <c r="O55" s="12"/>
      <c r="P55" s="12"/>
      <c r="Q55" s="12"/>
    </row>
    <row r="56" spans="1:17" x14ac:dyDescent="0.2">
      <c r="A56" s="269"/>
      <c r="B56" s="8"/>
      <c r="C56" s="12"/>
      <c r="D56" s="12"/>
      <c r="E56" s="12"/>
      <c r="F56" s="12"/>
      <c r="G56" s="12"/>
      <c r="H56" s="12"/>
      <c r="I56" s="12"/>
      <c r="J56" s="12"/>
      <c r="K56" s="12"/>
      <c r="L56" s="12"/>
      <c r="M56" s="12"/>
      <c r="N56" s="12"/>
      <c r="O56" s="12"/>
      <c r="P56" s="12"/>
      <c r="Q56" s="12"/>
    </row>
    <row r="57" spans="1:17" x14ac:dyDescent="0.2">
      <c r="A57" s="269"/>
      <c r="B57" s="8"/>
      <c r="C57" s="12"/>
      <c r="D57" s="12"/>
      <c r="E57" s="12"/>
      <c r="F57" s="12"/>
      <c r="G57" s="12"/>
      <c r="H57" s="12"/>
      <c r="I57" s="12"/>
      <c r="J57" s="12"/>
      <c r="K57" s="12"/>
      <c r="L57" s="12"/>
      <c r="M57" s="12"/>
      <c r="N57" s="12"/>
      <c r="O57" s="12"/>
      <c r="P57" s="12"/>
      <c r="Q57" s="12"/>
    </row>
    <row r="58" spans="1:17" x14ac:dyDescent="0.2">
      <c r="A58" s="269"/>
      <c r="B58" s="8"/>
      <c r="C58" s="12"/>
      <c r="D58" s="12"/>
      <c r="E58" s="12"/>
      <c r="F58" s="12"/>
      <c r="G58" s="12"/>
      <c r="H58" s="12"/>
      <c r="I58" s="12"/>
      <c r="J58" s="12"/>
      <c r="K58" s="12"/>
      <c r="L58" s="12"/>
      <c r="M58" s="12"/>
      <c r="N58" s="12"/>
      <c r="O58" s="12"/>
      <c r="P58" s="12"/>
      <c r="Q58" s="12"/>
    </row>
    <row r="59" spans="1:17" x14ac:dyDescent="0.2">
      <c r="A59" s="269"/>
      <c r="B59" s="8"/>
      <c r="C59" s="12"/>
      <c r="D59" s="12"/>
      <c r="E59" s="12"/>
      <c r="F59" s="12"/>
      <c r="G59" s="12"/>
      <c r="H59" s="12"/>
      <c r="I59" s="12"/>
      <c r="J59" s="12"/>
      <c r="K59" s="12"/>
      <c r="L59" s="12"/>
      <c r="M59" s="12"/>
      <c r="N59" s="12"/>
      <c r="O59" s="12"/>
      <c r="P59" s="12"/>
      <c r="Q59" s="12"/>
    </row>
    <row r="60" spans="1:17" x14ac:dyDescent="0.2">
      <c r="A60" s="269"/>
      <c r="B60" s="8"/>
      <c r="C60" s="12"/>
      <c r="D60" s="12"/>
      <c r="E60" s="12"/>
      <c r="F60" s="12"/>
      <c r="G60" s="12"/>
      <c r="H60" s="12"/>
      <c r="I60" s="12"/>
      <c r="J60" s="12"/>
      <c r="K60" s="12"/>
      <c r="L60" s="12"/>
      <c r="M60" s="12"/>
      <c r="N60" s="12"/>
      <c r="O60" s="12"/>
      <c r="P60" s="12"/>
      <c r="Q60" s="12"/>
    </row>
    <row r="61" spans="1:17" x14ac:dyDescent="0.2">
      <c r="A61" s="269"/>
      <c r="B61" s="8"/>
      <c r="C61" s="12"/>
      <c r="D61" s="12"/>
      <c r="E61" s="12"/>
      <c r="F61" s="12"/>
      <c r="G61" s="12"/>
      <c r="H61" s="12"/>
      <c r="I61" s="12"/>
      <c r="J61" s="12"/>
      <c r="K61" s="12"/>
      <c r="L61" s="12"/>
      <c r="M61" s="12"/>
      <c r="N61" s="12"/>
      <c r="O61" s="12"/>
      <c r="P61" s="12"/>
      <c r="Q61" s="12"/>
    </row>
    <row r="62" spans="1:17" x14ac:dyDescent="0.2">
      <c r="A62" s="272"/>
      <c r="B62" s="272"/>
      <c r="C62" s="272"/>
      <c r="D62" s="272"/>
      <c r="E62" s="272"/>
      <c r="F62" s="272"/>
      <c r="G62" s="272"/>
      <c r="H62" s="272"/>
      <c r="I62" s="272"/>
      <c r="J62" s="272"/>
      <c r="K62" s="272"/>
      <c r="L62" s="272"/>
      <c r="M62" s="272"/>
      <c r="N62" s="272"/>
      <c r="O62" s="272"/>
      <c r="P62" s="272"/>
      <c r="Q62" s="272"/>
    </row>
    <row r="63" spans="1:17" x14ac:dyDescent="0.2">
      <c r="A63" s="270"/>
      <c r="B63" s="270"/>
      <c r="C63" s="270"/>
      <c r="D63" s="270"/>
      <c r="E63" s="270"/>
      <c r="F63" s="270"/>
      <c r="G63" s="270"/>
      <c r="H63" s="271"/>
      <c r="I63" s="271"/>
      <c r="J63" s="271"/>
      <c r="K63" s="271"/>
      <c r="L63" s="271"/>
      <c r="M63" s="271"/>
      <c r="N63" s="271"/>
      <c r="O63" s="271"/>
      <c r="P63" s="271"/>
      <c r="Q63" s="271"/>
    </row>
    <row r="64" spans="1:17" x14ac:dyDescent="0.2">
      <c r="A64" s="265"/>
      <c r="B64" s="265"/>
      <c r="C64" s="265"/>
      <c r="D64" s="265"/>
      <c r="E64" s="265"/>
      <c r="F64" s="265"/>
      <c r="G64" s="265"/>
      <c r="H64" s="266"/>
      <c r="I64" s="266"/>
      <c r="J64" s="266"/>
      <c r="K64" s="266"/>
      <c r="L64" s="266"/>
      <c r="M64" s="266"/>
      <c r="N64" s="266"/>
      <c r="O64" s="266"/>
      <c r="P64" s="266"/>
      <c r="Q64" s="266"/>
    </row>
    <row r="65" spans="1:17" x14ac:dyDescent="0.2">
      <c r="A65" s="13"/>
      <c r="B65" s="13"/>
      <c r="C65" s="13"/>
      <c r="D65" s="13"/>
      <c r="E65" s="13"/>
      <c r="F65" s="13"/>
      <c r="G65" s="13"/>
      <c r="H65" s="13"/>
      <c r="I65" s="13"/>
      <c r="J65" s="13"/>
      <c r="K65" s="13"/>
      <c r="L65" s="13"/>
      <c r="M65" s="13"/>
      <c r="N65" s="13"/>
      <c r="O65" s="13"/>
      <c r="P65" s="13"/>
      <c r="Q65" s="13"/>
    </row>
  </sheetData>
  <mergeCells count="13">
    <mergeCell ref="C35:Q35"/>
    <mergeCell ref="A36:B36"/>
    <mergeCell ref="A37:B37"/>
    <mergeCell ref="A38:A46"/>
    <mergeCell ref="A62:Q62"/>
    <mergeCell ref="A64:G64"/>
    <mergeCell ref="H64:Q64"/>
    <mergeCell ref="C50:Q50"/>
    <mergeCell ref="A51:B51"/>
    <mergeCell ref="A52:B52"/>
    <mergeCell ref="A53:A61"/>
    <mergeCell ref="A63:G63"/>
    <mergeCell ref="H63:Q63"/>
  </mergeCells>
  <phoneticPr fontId="1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NM005A</vt:lpstr>
      <vt:lpstr>Data</vt:lpstr>
      <vt:lpstr>Sheet1</vt:lpstr>
      <vt:lpstr>NM005A!Print_Area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 L. Tsang</cp:lastModifiedBy>
  <cp:lastPrinted>2020-10-27T08:31:08Z</cp:lastPrinted>
  <dcterms:created xsi:type="dcterms:W3CDTF">2004-07-12T16:56:19Z</dcterms:created>
  <dcterms:modified xsi:type="dcterms:W3CDTF">2020-10-27T08:31:12Z</dcterms:modified>
</cp:coreProperties>
</file>